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mc:AlternateContent xmlns:mc="http://schemas.openxmlformats.org/markup-compatibility/2006">
    <mc:Choice Requires="x15">
      <x15ac:absPath xmlns:x15ac="http://schemas.microsoft.com/office/spreadsheetml/2010/11/ac" url="P:\CUA\10. CUAs Current\CUAPCS2018 - Printing and Copying Machines and Solutions\Management\1 - Product Catalogues\Panel1-2\1 - Current_Production\"/>
    </mc:Choice>
  </mc:AlternateContent>
  <xr:revisionPtr revIDLastSave="0" documentId="8_{38A4D808-B1DE-4393-A3C8-71C514F63C13}" xr6:coauthVersionLast="47" xr6:coauthVersionMax="47" xr10:uidLastSave="{00000000-0000-0000-0000-000000000000}"/>
  <workbookProtection workbookAlgorithmName="SHA-512" workbookHashValue="k2pNk8m5CenE5whcl2JG0teWpIR4pv+Z2ejOR/QRXLHZ0PflM32DJCLrngPuIXm0Niv3ebsEhr/dXRh9sAiOrQ==" workbookSaltValue="Hl5zHCjC3BcVSsQhUMx7xg==" workbookSpinCount="100000" lockStructure="1"/>
  <bookViews>
    <workbookView xWindow="-120" yWindow="-120" windowWidth="29040" windowHeight="15840" tabRatio="854" xr2:uid="{00000000-000D-0000-FFFF-FFFF00000000}"/>
  </bookViews>
  <sheets>
    <sheet name="Summary" sheetId="19" r:id="rId1"/>
    <sheet name="Lowest TCO" sheetId="44" state="hidden" r:id="rId2"/>
    <sheet name="Min_Discounts" sheetId="24" r:id="rId3"/>
    <sheet name="MFD-Colour_List" sheetId="23" r:id="rId4"/>
    <sheet name="MFD-Colour_Upg" sheetId="36" r:id="rId5"/>
    <sheet name="MFD-BW_List" sheetId="38" r:id="rId6"/>
    <sheet name="MFD-BW_Upg" sheetId="39" r:id="rId7"/>
    <sheet name="SFP-Colour_List" sheetId="33" r:id="rId8"/>
    <sheet name="SFP-Colour_Upg" sheetId="37" r:id="rId9"/>
    <sheet name="SFP-BW_List" sheetId="40" r:id="rId10"/>
    <sheet name="SFP-BW_Upg" sheetId="41" r:id="rId11"/>
    <sheet name="Prof_Services" sheetId="34" r:id="rId12"/>
    <sheet name="Software" sheetId="35" r:id="rId13"/>
    <sheet name="Lists" sheetId="32" state="hidden" r:id="rId14"/>
    <sheet name="tco_data" sheetId="42" state="hidden" r:id="rId15"/>
    <sheet name="Data" sheetId="31" state="hidden" r:id="rId16"/>
    <sheet name="Change_Log" sheetId="45" r:id="rId17"/>
  </sheets>
  <externalReferences>
    <externalReference r:id="rId18"/>
    <externalReference r:id="rId19"/>
  </externalReferences>
  <definedNames>
    <definedName name="_xlnm._FilterDatabase" localSheetId="15" hidden="1">Data!$A$1:$CY$129</definedName>
    <definedName name="_xlnm._FilterDatabase" localSheetId="13">Lists!$A$1:$P$129</definedName>
    <definedName name="_xlnm._FilterDatabase" localSheetId="1" hidden="1">'Lowest TCO'!$A$5:$N$55</definedName>
    <definedName name="_xlnm._FilterDatabase" localSheetId="6" hidden="1">'MFD-BW_Upg'!$A$5:$M$123</definedName>
    <definedName name="_xlnm._FilterDatabase" localSheetId="4" hidden="1">'MFD-Colour_Upg'!$A$5:$R$242</definedName>
    <definedName name="_xlnm._FilterDatabase" localSheetId="11" hidden="1">Prof_Services!$A$5:$G$32</definedName>
    <definedName name="_xlnm._FilterDatabase" localSheetId="10" hidden="1">'SFP-BW_Upg'!$A$5:$J$41</definedName>
    <definedName name="_xlnm._FilterDatabase" localSheetId="8" hidden="1">'SFP-Colour_Upg'!$A$5:$J$44</definedName>
    <definedName name="_xlnm._FilterDatabase" localSheetId="12" hidden="1">Software!$A$6:$J$78</definedName>
    <definedName name="_xlnm._FilterDatabase" localSheetId="14" hidden="1">tco_data!$A$1:$O$129</definedName>
    <definedName name="DeviceLists">Lists!$I$2:$I$15</definedName>
    <definedName name="DeviceTypes">Lists!$A$2:$A$5</definedName>
    <definedName name="Locations">Lists!$R$2:$R$14</definedName>
    <definedName name="MFDLevels">Lists!$B$2:$B$5</definedName>
    <definedName name="MFDSups">Lists!$F$2:$F$5</definedName>
    <definedName name="_xlnm.Print_Area" localSheetId="2">Min_Discounts!$A$4:$G$11</definedName>
    <definedName name="_xlnm.Print_Area" localSheetId="0">Summary!$A$1:$G$22</definedName>
    <definedName name="SFPLevels">Lists!$D$2:$D$4</definedName>
    <definedName name="SFPSups">Lists!$G$2:$G$4</definedName>
    <definedName name="TCODevTypes">Lists!$A$8:$A$12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31" l="1"/>
  <c r="CW121" i="31"/>
  <c r="CX121" i="31"/>
  <c r="R138" i="36"/>
  <c r="I138" i="36"/>
  <c r="O138" i="36"/>
  <c r="J138" i="36"/>
  <c r="G138" i="36"/>
  <c r="M138" i="36"/>
  <c r="L138" i="36"/>
  <c r="K138" i="36"/>
  <c r="F138" i="36"/>
  <c r="E138" i="36"/>
  <c r="H138" i="36"/>
  <c r="P138" i="36"/>
  <c r="N138" i="36"/>
  <c r="Q138" i="36"/>
  <c r="D54" i="38" l="1"/>
  <c r="CV65" i="31" l="1"/>
  <c r="CV66" i="31"/>
  <c r="CY126" i="31"/>
  <c r="CX126" i="31"/>
  <c r="CW126" i="31"/>
  <c r="CV126" i="31"/>
  <c r="D35" i="39"/>
  <c r="D34" i="39"/>
  <c r="D33" i="39"/>
  <c r="D32" i="39"/>
  <c r="D31" i="39"/>
  <c r="D30" i="39"/>
  <c r="D29" i="39"/>
  <c r="D28" i="39"/>
  <c r="D27" i="39"/>
  <c r="D26" i="39"/>
  <c r="D25" i="39"/>
  <c r="D9" i="37"/>
  <c r="D8" i="37"/>
  <c r="D7" i="37"/>
  <c r="D13" i="41"/>
  <c r="D12" i="41"/>
  <c r="D11" i="41"/>
  <c r="D10" i="41"/>
  <c r="D9" i="41"/>
  <c r="L116" i="31"/>
  <c r="L114" i="31"/>
  <c r="L99" i="31"/>
  <c r="L98" i="31"/>
  <c r="L75" i="31"/>
  <c r="L74" i="31"/>
  <c r="L73" i="31"/>
  <c r="L72" i="31"/>
  <c r="L71" i="31"/>
  <c r="L70" i="31"/>
  <c r="L69" i="31"/>
  <c r="L68" i="31"/>
  <c r="L67" i="31"/>
  <c r="L28" i="31"/>
  <c r="L26" i="31"/>
  <c r="L23" i="31"/>
  <c r="L22" i="31"/>
  <c r="L21" i="31"/>
  <c r="L19" i="31"/>
  <c r="L18" i="31"/>
  <c r="L17" i="31"/>
  <c r="L16" i="31"/>
  <c r="K213" i="36"/>
  <c r="F213" i="36"/>
  <c r="H213" i="36"/>
  <c r="I213" i="36"/>
  <c r="P213" i="36"/>
  <c r="Q213" i="36"/>
  <c r="R213" i="36"/>
  <c r="M213" i="36"/>
  <c r="L213" i="36"/>
  <c r="N213" i="36"/>
  <c r="G213" i="36"/>
  <c r="J213" i="36"/>
  <c r="O213" i="36"/>
  <c r="E213" i="36"/>
  <c r="CV78" i="31" l="1"/>
  <c r="CW78" i="31"/>
  <c r="CX78" i="31"/>
  <c r="CY78" i="31"/>
  <c r="CY43" i="31"/>
  <c r="CX43" i="31"/>
  <c r="CW43" i="31"/>
  <c r="CV43" i="31"/>
  <c r="D38" i="41"/>
  <c r="D37" i="41"/>
  <c r="D36" i="41"/>
  <c r="D35" i="41"/>
  <c r="D34" i="41"/>
  <c r="D33" i="41"/>
  <c r="D32" i="41"/>
  <c r="D31" i="41"/>
  <c r="D46" i="37"/>
  <c r="D45" i="37"/>
  <c r="D44" i="37"/>
  <c r="D43" i="37"/>
  <c r="D42" i="37"/>
  <c r="D41" i="37"/>
  <c r="D40" i="37"/>
  <c r="D39" i="37"/>
  <c r="D38" i="37"/>
  <c r="D37" i="37"/>
  <c r="D36" i="37"/>
  <c r="D35" i="37"/>
  <c r="D34" i="37"/>
  <c r="D33" i="37"/>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214" i="36"/>
  <c r="D215" i="36"/>
  <c r="D216" i="36"/>
  <c r="D217" i="36"/>
  <c r="D218" i="36"/>
  <c r="D219" i="36"/>
  <c r="D220" i="36"/>
  <c r="D221" i="36"/>
  <c r="D222" i="36"/>
  <c r="D225" i="36"/>
  <c r="D226" i="36"/>
  <c r="D227" i="36"/>
  <c r="D228" i="36"/>
  <c r="D229" i="36"/>
  <c r="D230" i="36"/>
  <c r="D231" i="36"/>
  <c r="D232" i="36"/>
  <c r="D233" i="36"/>
  <c r="D234" i="36"/>
  <c r="D235" i="36"/>
  <c r="D236" i="36"/>
  <c r="D237" i="36"/>
  <c r="D238" i="36"/>
  <c r="D241" i="36"/>
  <c r="D242" i="36"/>
  <c r="G32" i="37"/>
  <c r="F30" i="41"/>
  <c r="CY51" i="31" l="1"/>
  <c r="CX51" i="31"/>
  <c r="CW51" i="31"/>
  <c r="CV51" i="31"/>
  <c r="P41" i="23"/>
  <c r="AU51" i="31"/>
  <c r="AV51" i="31"/>
  <c r="AW51" i="31"/>
  <c r="AX51" i="31"/>
  <c r="AY51" i="31"/>
  <c r="AZ51" i="31"/>
  <c r="BA51" i="31"/>
  <c r="BB51" i="31"/>
  <c r="BC51" i="31"/>
  <c r="BD51" i="31"/>
  <c r="BE51" i="31"/>
  <c r="BF51" i="31"/>
  <c r="BG51" i="31"/>
  <c r="BH51" i="31"/>
  <c r="BI51" i="31"/>
  <c r="BJ51" i="31"/>
  <c r="BK51" i="31"/>
  <c r="BL51" i="31"/>
  <c r="BM51" i="31"/>
  <c r="BN51" i="31"/>
  <c r="BO51" i="31"/>
  <c r="BP51" i="31"/>
  <c r="BQ51" i="31"/>
  <c r="BR51" i="31"/>
  <c r="BS51" i="31"/>
  <c r="BT51" i="31"/>
  <c r="BU51" i="31"/>
  <c r="BV51" i="31"/>
  <c r="BW51" i="31"/>
  <c r="BX51" i="31"/>
  <c r="BY51" i="31"/>
  <c r="BZ51" i="31"/>
  <c r="CA51" i="31"/>
  <c r="CB51" i="31"/>
  <c r="CC51" i="31"/>
  <c r="CD51" i="31"/>
  <c r="CE51" i="31"/>
  <c r="CF51" i="31"/>
  <c r="CG51" i="31"/>
  <c r="CH51" i="31"/>
  <c r="CI51" i="31"/>
  <c r="CJ51" i="31"/>
  <c r="CK51" i="31"/>
  <c r="CL51" i="31"/>
  <c r="CM51" i="31"/>
  <c r="CN51" i="31"/>
  <c r="CO51" i="31"/>
  <c r="CP51" i="31"/>
  <c r="CQ51" i="31"/>
  <c r="CR51" i="31"/>
  <c r="CS51" i="31"/>
  <c r="CT51" i="31"/>
  <c r="B45" i="40"/>
  <c r="B30" i="40"/>
  <c r="B15" i="40"/>
  <c r="B48" i="33"/>
  <c r="B32" i="33"/>
  <c r="B16" i="33"/>
  <c r="B60" i="38"/>
  <c r="B45" i="38"/>
  <c r="BJ93" i="31"/>
  <c r="BJ90" i="31" l="1"/>
  <c r="BJ91" i="31"/>
  <c r="BJ88" i="31"/>
  <c r="BJ87" i="31"/>
  <c r="B30" i="38"/>
  <c r="B15" i="38"/>
  <c r="B64" i="23"/>
  <c r="B48" i="23"/>
  <c r="B32" i="23"/>
  <c r="B16" i="23"/>
  <c r="I2" i="44"/>
  <c r="CX106" i="31" l="1"/>
  <c r="CW106" i="31"/>
  <c r="CV106" i="31"/>
  <c r="K129" i="32" l="1"/>
  <c r="K128" i="32"/>
  <c r="K127" i="32"/>
  <c r="K126" i="32"/>
  <c r="K125" i="32"/>
  <c r="K124" i="32"/>
  <c r="K123" i="32"/>
  <c r="K122" i="32"/>
  <c r="K121" i="32"/>
  <c r="K120" i="32"/>
  <c r="K119"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91" i="32"/>
  <c r="K90" i="32"/>
  <c r="K89" i="32"/>
  <c r="K88" i="32"/>
  <c r="K87" i="32"/>
  <c r="K86" i="32"/>
  <c r="K85" i="32"/>
  <c r="K84" i="32"/>
  <c r="K83"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4" i="32"/>
  <c r="K13" i="32"/>
  <c r="K12" i="32"/>
  <c r="K11" i="32"/>
  <c r="K10" i="32"/>
  <c r="K9" i="32"/>
  <c r="K8" i="32"/>
  <c r="K7" i="32"/>
  <c r="K6" i="32"/>
  <c r="K5" i="32"/>
  <c r="K4" i="32"/>
  <c r="K3" i="32"/>
  <c r="K2" i="32"/>
  <c r="CX112" i="31"/>
  <c r="CW112" i="31"/>
  <c r="CV112" i="31"/>
  <c r="CX27" i="31" l="1"/>
  <c r="CW27" i="31"/>
  <c r="CV27" i="31"/>
  <c r="H39" i="40" l="1"/>
  <c r="G39" i="40"/>
  <c r="F39" i="40"/>
  <c r="E39" i="40"/>
  <c r="D39" i="40"/>
  <c r="C39" i="40"/>
  <c r="H24" i="40"/>
  <c r="G24" i="40"/>
  <c r="F24" i="40"/>
  <c r="E24" i="40"/>
  <c r="D24" i="40"/>
  <c r="C24" i="40"/>
  <c r="H9" i="40"/>
  <c r="G9" i="40"/>
  <c r="F9" i="40"/>
  <c r="E9" i="40"/>
  <c r="D9" i="40"/>
  <c r="C9" i="40"/>
  <c r="H41" i="33"/>
  <c r="G41" i="33"/>
  <c r="F41" i="33"/>
  <c r="E41" i="33"/>
  <c r="D41" i="33"/>
  <c r="D50" i="33" s="1"/>
  <c r="C41" i="33"/>
  <c r="H25" i="33"/>
  <c r="H34" i="33" s="1"/>
  <c r="G25" i="33"/>
  <c r="F25" i="33"/>
  <c r="E25" i="33"/>
  <c r="D25" i="33"/>
  <c r="D34" i="33" s="1"/>
  <c r="C25" i="33"/>
  <c r="H9" i="33"/>
  <c r="G9" i="33"/>
  <c r="F9" i="33"/>
  <c r="E9" i="33"/>
  <c r="D9" i="33"/>
  <c r="D18" i="33" s="1"/>
  <c r="C9" i="33"/>
  <c r="C18" i="33" s="1"/>
  <c r="CY129" i="31" l="1"/>
  <c r="CX129" i="31"/>
  <c r="CW129" i="31"/>
  <c r="CV129" i="31"/>
  <c r="CY128" i="31"/>
  <c r="CX128" i="31"/>
  <c r="CW128" i="31"/>
  <c r="CV128" i="31"/>
  <c r="CY127" i="31"/>
  <c r="CX127" i="31"/>
  <c r="CW127" i="31"/>
  <c r="CV127" i="31"/>
  <c r="CY125" i="31"/>
  <c r="CX125" i="31"/>
  <c r="CW125" i="31"/>
  <c r="CV125" i="31"/>
  <c r="CY124" i="31"/>
  <c r="CX124" i="31"/>
  <c r="CW124" i="31"/>
  <c r="CV124" i="31"/>
  <c r="CY123" i="31"/>
  <c r="CX123" i="31"/>
  <c r="CW123" i="31"/>
  <c r="CV123" i="31"/>
  <c r="CY122" i="31"/>
  <c r="CY121" i="31"/>
  <c r="CY120" i="31"/>
  <c r="CX120" i="31"/>
  <c r="CW120" i="31"/>
  <c r="CV120" i="31"/>
  <c r="CY119" i="31"/>
  <c r="CX119" i="31"/>
  <c r="CW119" i="31"/>
  <c r="CV119" i="31"/>
  <c r="CY118" i="31"/>
  <c r="CY117" i="31"/>
  <c r="CX117" i="31"/>
  <c r="CW117" i="31"/>
  <c r="CV117" i="31"/>
  <c r="CY116" i="31"/>
  <c r="CX116" i="31"/>
  <c r="CW116" i="31"/>
  <c r="CV116" i="31"/>
  <c r="CY115" i="31"/>
  <c r="CX115" i="31"/>
  <c r="CW115" i="31"/>
  <c r="CV115" i="31"/>
  <c r="CY114" i="31"/>
  <c r="CX114" i="31"/>
  <c r="CW114" i="31"/>
  <c r="CV114" i="31"/>
  <c r="CY113" i="31"/>
  <c r="CX113" i="31"/>
  <c r="CW113" i="31"/>
  <c r="CV113" i="31"/>
  <c r="CY112" i="31"/>
  <c r="CY111" i="31"/>
  <c r="CX111" i="31"/>
  <c r="CW111" i="31"/>
  <c r="CV111" i="31"/>
  <c r="CY110" i="31"/>
  <c r="CX110" i="31"/>
  <c r="CW110" i="31"/>
  <c r="CV110" i="31"/>
  <c r="CY109" i="31"/>
  <c r="CX109" i="31"/>
  <c r="CW109" i="31"/>
  <c r="CV109" i="31"/>
  <c r="CY108" i="31"/>
  <c r="CX108" i="31"/>
  <c r="CW108" i="31"/>
  <c r="CV108" i="31"/>
  <c r="CY107" i="31"/>
  <c r="CX107" i="31"/>
  <c r="CW107" i="31"/>
  <c r="CV107" i="31"/>
  <c r="CY106" i="31"/>
  <c r="CY105" i="31"/>
  <c r="CX105" i="31"/>
  <c r="CW105" i="31"/>
  <c r="CV105" i="31"/>
  <c r="CY104" i="31"/>
  <c r="CX104" i="31"/>
  <c r="CW104" i="31"/>
  <c r="CV104" i="31"/>
  <c r="CY103" i="31"/>
  <c r="CX103" i="31"/>
  <c r="CW103" i="31"/>
  <c r="CV103" i="31"/>
  <c r="CY102" i="31"/>
  <c r="CX102" i="31"/>
  <c r="CW102" i="31"/>
  <c r="CV102" i="31"/>
  <c r="CY101" i="31"/>
  <c r="CX101" i="31"/>
  <c r="CW101" i="31"/>
  <c r="CV101" i="31"/>
  <c r="CY100" i="31"/>
  <c r="CX100" i="31"/>
  <c r="CW100" i="31"/>
  <c r="CV100" i="31"/>
  <c r="CY99" i="31"/>
  <c r="CX99" i="31"/>
  <c r="CW99" i="31"/>
  <c r="CV99" i="31"/>
  <c r="CY98" i="31"/>
  <c r="CX98" i="31"/>
  <c r="CW98" i="31"/>
  <c r="CV98" i="31"/>
  <c r="CY97" i="31"/>
  <c r="CX97" i="31"/>
  <c r="CW97" i="31"/>
  <c r="CV97" i="31"/>
  <c r="CY96" i="31"/>
  <c r="CX96" i="31"/>
  <c r="CW96" i="31"/>
  <c r="CV96" i="31"/>
  <c r="CY95" i="31"/>
  <c r="CX95" i="31"/>
  <c r="CW95" i="31"/>
  <c r="CV95" i="31"/>
  <c r="CY94" i="31"/>
  <c r="CX94" i="31"/>
  <c r="CW94" i="31"/>
  <c r="CV94" i="31"/>
  <c r="CY93" i="31"/>
  <c r="CX93" i="31"/>
  <c r="CW93" i="31"/>
  <c r="CV93" i="31"/>
  <c r="CY92" i="31"/>
  <c r="CX92" i="31"/>
  <c r="CW92" i="31"/>
  <c r="CV92" i="31"/>
  <c r="CY91" i="31"/>
  <c r="CX91" i="31"/>
  <c r="CW91" i="31"/>
  <c r="CV91" i="31"/>
  <c r="CY90" i="31"/>
  <c r="CX90" i="31"/>
  <c r="CW90" i="31"/>
  <c r="CV90" i="31"/>
  <c r="CY89" i="31"/>
  <c r="CX89" i="31"/>
  <c r="CW89" i="31"/>
  <c r="CV89" i="31"/>
  <c r="CY88" i="31"/>
  <c r="CX88" i="31"/>
  <c r="CW88" i="31"/>
  <c r="CV88" i="31"/>
  <c r="CY87" i="31"/>
  <c r="CX87" i="31"/>
  <c r="CW87" i="31"/>
  <c r="CV87" i="31"/>
  <c r="CY86" i="31"/>
  <c r="CX86" i="31"/>
  <c r="CW86" i="31"/>
  <c r="CV86" i="31"/>
  <c r="CY85" i="31"/>
  <c r="CX85" i="31"/>
  <c r="CW85" i="31"/>
  <c r="CV85" i="31"/>
  <c r="CY84" i="31"/>
  <c r="CX84" i="31"/>
  <c r="CW84" i="31"/>
  <c r="CV84" i="31"/>
  <c r="CY83" i="31"/>
  <c r="CX83" i="31"/>
  <c r="CW83" i="31"/>
  <c r="CV83" i="31"/>
  <c r="CY82" i="31"/>
  <c r="CX82" i="31"/>
  <c r="CW82" i="31"/>
  <c r="CV82" i="31"/>
  <c r="CY81" i="31"/>
  <c r="CX81" i="31"/>
  <c r="CW81" i="31"/>
  <c r="CV81" i="31"/>
  <c r="CY80" i="31"/>
  <c r="CX80" i="31"/>
  <c r="CW80" i="31"/>
  <c r="CV80" i="31"/>
  <c r="CY79" i="31"/>
  <c r="CX79" i="31"/>
  <c r="CW79" i="31"/>
  <c r="CV79" i="31"/>
  <c r="CY77" i="31"/>
  <c r="CX77" i="31"/>
  <c r="CW77" i="31"/>
  <c r="CV77" i="31"/>
  <c r="CY76" i="31"/>
  <c r="CX76" i="31"/>
  <c r="CW76" i="31"/>
  <c r="CV76" i="31"/>
  <c r="CY75" i="31"/>
  <c r="CX75" i="31"/>
  <c r="CW75" i="31"/>
  <c r="CV75" i="31"/>
  <c r="CY74" i="31"/>
  <c r="CX74" i="31"/>
  <c r="CW74" i="31"/>
  <c r="CV74" i="31"/>
  <c r="CY73" i="31"/>
  <c r="CX73" i="31"/>
  <c r="CW73" i="31"/>
  <c r="CV73" i="31"/>
  <c r="CY72" i="31"/>
  <c r="CX72" i="31"/>
  <c r="CW72" i="31"/>
  <c r="CV72" i="31"/>
  <c r="CY71" i="31"/>
  <c r="CX71" i="31"/>
  <c r="CW71" i="31"/>
  <c r="CV71" i="31"/>
  <c r="CY70" i="31"/>
  <c r="CX70" i="31"/>
  <c r="CW70" i="31"/>
  <c r="CV70" i="31"/>
  <c r="CY69" i="31"/>
  <c r="CX69" i="31"/>
  <c r="CW69" i="31"/>
  <c r="CV69" i="31"/>
  <c r="CY68" i="31"/>
  <c r="CX68" i="31"/>
  <c r="CW68" i="31"/>
  <c r="CV68" i="31"/>
  <c r="CY67" i="31"/>
  <c r="CX67" i="31"/>
  <c r="CW67" i="31"/>
  <c r="CV67" i="31"/>
  <c r="CY66" i="31"/>
  <c r="CX66" i="31"/>
  <c r="CW66" i="31"/>
  <c r="CY65" i="31"/>
  <c r="CX65" i="31"/>
  <c r="CW65" i="31"/>
  <c r="CY64" i="31"/>
  <c r="CX64" i="31"/>
  <c r="CW64" i="31"/>
  <c r="CV64" i="31"/>
  <c r="CY63" i="31"/>
  <c r="CX63" i="31"/>
  <c r="CW63" i="31"/>
  <c r="CV63" i="31"/>
  <c r="CY62" i="31"/>
  <c r="CX62" i="31"/>
  <c r="CW62" i="31"/>
  <c r="CV62" i="31"/>
  <c r="CY61" i="31"/>
  <c r="CX61" i="31"/>
  <c r="CW61" i="31"/>
  <c r="CV61" i="31"/>
  <c r="CY60" i="31"/>
  <c r="CX60" i="31"/>
  <c r="CW60" i="31"/>
  <c r="CV60" i="31"/>
  <c r="CY59" i="31"/>
  <c r="CX59" i="31"/>
  <c r="CW59" i="31"/>
  <c r="CV59" i="31"/>
  <c r="CY58" i="31"/>
  <c r="CX58" i="31"/>
  <c r="CW58" i="31"/>
  <c r="CV58" i="31"/>
  <c r="CY57" i="31"/>
  <c r="CX57" i="31"/>
  <c r="CW57" i="31"/>
  <c r="CV57" i="31"/>
  <c r="CY56" i="31"/>
  <c r="CX56" i="31"/>
  <c r="CW56" i="31"/>
  <c r="CV56" i="31"/>
  <c r="CY55" i="31"/>
  <c r="CX55" i="31"/>
  <c r="CW55" i="31"/>
  <c r="CV55" i="31"/>
  <c r="CY54" i="31"/>
  <c r="CX54" i="31"/>
  <c r="CW54" i="31"/>
  <c r="CV54" i="31"/>
  <c r="CY53" i="31"/>
  <c r="CX53" i="31"/>
  <c r="CW53" i="31"/>
  <c r="CV53" i="31"/>
  <c r="CY52" i="31"/>
  <c r="CX52" i="31"/>
  <c r="CW52" i="31"/>
  <c r="CV52" i="31"/>
  <c r="CY50" i="31"/>
  <c r="CX50" i="31"/>
  <c r="CW50" i="31"/>
  <c r="CV50" i="31"/>
  <c r="CY49" i="31"/>
  <c r="CX49" i="31"/>
  <c r="CW49" i="31"/>
  <c r="CV49" i="31"/>
  <c r="CY48" i="31"/>
  <c r="CX48" i="31"/>
  <c r="CW48" i="31"/>
  <c r="CV48" i="31"/>
  <c r="CY47" i="31"/>
  <c r="CX47" i="31"/>
  <c r="CW47" i="31"/>
  <c r="CV47" i="31"/>
  <c r="CY46" i="31"/>
  <c r="CX46" i="31"/>
  <c r="CW46" i="31"/>
  <c r="CV46" i="31"/>
  <c r="CY45" i="31"/>
  <c r="CX45" i="31"/>
  <c r="CW45" i="31"/>
  <c r="CV45" i="31"/>
  <c r="CY44" i="31"/>
  <c r="CX44" i="31"/>
  <c r="CW44" i="31"/>
  <c r="CV44" i="31"/>
  <c r="CY42" i="31"/>
  <c r="CX42" i="31"/>
  <c r="CW42" i="31"/>
  <c r="CV42" i="31"/>
  <c r="CY41" i="31"/>
  <c r="CX41" i="31"/>
  <c r="CW41" i="31"/>
  <c r="CV41" i="31"/>
  <c r="CY40" i="31"/>
  <c r="CX40" i="31"/>
  <c r="CW40" i="31"/>
  <c r="CV40" i="31"/>
  <c r="CY39" i="31"/>
  <c r="CX39" i="31"/>
  <c r="CW39" i="31"/>
  <c r="CV39" i="31"/>
  <c r="CY38" i="31"/>
  <c r="CX38" i="31"/>
  <c r="CW38" i="31"/>
  <c r="CV38" i="31"/>
  <c r="CY37" i="31"/>
  <c r="CX37" i="31"/>
  <c r="CW37" i="31"/>
  <c r="CV37" i="31"/>
  <c r="CY36" i="31"/>
  <c r="CX36" i="31"/>
  <c r="CW36" i="31"/>
  <c r="CV36" i="31"/>
  <c r="CY35" i="31"/>
  <c r="CX35" i="31"/>
  <c r="CW35" i="31"/>
  <c r="CV35" i="31"/>
  <c r="CY34" i="31"/>
  <c r="CX34" i="31"/>
  <c r="CW34" i="31"/>
  <c r="CV34" i="31"/>
  <c r="CY33" i="31"/>
  <c r="CX33" i="31"/>
  <c r="CW33" i="31"/>
  <c r="CV33" i="31"/>
  <c r="CY32" i="31"/>
  <c r="CX32" i="31"/>
  <c r="CW32" i="31"/>
  <c r="CV32" i="31"/>
  <c r="CY31" i="31"/>
  <c r="CX31" i="31"/>
  <c r="CW31" i="31"/>
  <c r="CV31" i="31"/>
  <c r="CY30" i="31"/>
  <c r="CX30" i="31"/>
  <c r="CW30" i="31"/>
  <c r="CV30" i="31"/>
  <c r="CY29" i="31"/>
  <c r="CX29" i="31"/>
  <c r="CW29" i="31"/>
  <c r="CV29" i="31"/>
  <c r="CY28" i="31"/>
  <c r="CX28" i="31"/>
  <c r="CW28" i="31"/>
  <c r="CV28" i="31"/>
  <c r="CY27" i="31"/>
  <c r="CY26" i="31"/>
  <c r="CX26" i="31"/>
  <c r="CW26" i="31"/>
  <c r="CV26" i="31"/>
  <c r="CY25" i="31"/>
  <c r="CX25" i="31"/>
  <c r="CW25" i="31"/>
  <c r="CV25" i="31"/>
  <c r="CY24" i="31"/>
  <c r="CX24" i="31"/>
  <c r="CW24" i="31"/>
  <c r="CV24" i="31"/>
  <c r="CY23" i="31"/>
  <c r="CX23" i="31"/>
  <c r="CW23" i="31"/>
  <c r="CV23" i="31"/>
  <c r="CY22" i="31"/>
  <c r="CX22" i="31"/>
  <c r="CW22" i="31"/>
  <c r="CV22" i="31"/>
  <c r="CY21" i="31"/>
  <c r="CX21" i="31"/>
  <c r="CW21" i="31"/>
  <c r="CV21" i="31"/>
  <c r="CY20" i="31"/>
  <c r="CX20" i="31"/>
  <c r="CW20" i="31"/>
  <c r="CV20" i="31"/>
  <c r="CY19" i="31"/>
  <c r="CX19" i="31"/>
  <c r="CW19" i="31"/>
  <c r="CV19" i="31"/>
  <c r="CY18" i="31"/>
  <c r="CX18" i="31"/>
  <c r="CW18" i="31"/>
  <c r="CV18" i="31"/>
  <c r="CY17" i="31"/>
  <c r="CX17" i="31"/>
  <c r="CW17" i="31"/>
  <c r="CV17" i="31"/>
  <c r="CY16" i="31"/>
  <c r="CX16" i="31"/>
  <c r="CW16" i="31"/>
  <c r="CV16" i="31"/>
  <c r="CY15" i="31"/>
  <c r="CX15" i="31"/>
  <c r="CW15" i="31"/>
  <c r="CV15" i="31"/>
  <c r="CY14" i="31"/>
  <c r="CX14" i="31"/>
  <c r="CW14" i="31"/>
  <c r="CV14" i="31"/>
  <c r="CY13" i="31"/>
  <c r="CX13" i="31"/>
  <c r="CW13" i="31"/>
  <c r="CV13" i="31"/>
  <c r="CY12" i="31"/>
  <c r="CX12" i="31"/>
  <c r="CW12" i="31"/>
  <c r="CV12" i="31"/>
  <c r="CY11" i="31"/>
  <c r="CX11" i="31"/>
  <c r="CW11" i="31"/>
  <c r="CV11" i="31"/>
  <c r="CY10" i="31"/>
  <c r="CX10" i="31"/>
  <c r="CW10" i="31"/>
  <c r="CV10" i="31"/>
  <c r="CY9" i="31"/>
  <c r="CX9" i="31"/>
  <c r="CW9" i="31"/>
  <c r="CV9" i="31"/>
  <c r="CY8" i="31"/>
  <c r="CX8" i="31"/>
  <c r="CW8" i="31"/>
  <c r="CV8" i="31"/>
  <c r="CY7" i="31"/>
  <c r="CX7" i="31"/>
  <c r="CW7" i="31"/>
  <c r="CV7" i="31"/>
  <c r="CY6" i="31"/>
  <c r="CX6" i="31"/>
  <c r="CW6" i="31"/>
  <c r="CV6" i="31"/>
  <c r="CY5" i="31"/>
  <c r="CX5" i="31"/>
  <c r="CW5" i="31"/>
  <c r="CV5" i="31"/>
  <c r="CY4" i="31"/>
  <c r="CX4" i="31"/>
  <c r="CW4" i="31"/>
  <c r="CV4" i="31"/>
  <c r="CY3" i="31"/>
  <c r="CX3" i="31"/>
  <c r="CW3" i="31"/>
  <c r="CV3" i="31"/>
  <c r="CY2" i="31"/>
  <c r="CX2" i="31"/>
  <c r="CW2" i="31"/>
  <c r="CV2" i="31"/>
  <c r="O6" i="36"/>
  <c r="M6" i="36"/>
  <c r="J6" i="36"/>
  <c r="L34" i="36"/>
  <c r="L6" i="36"/>
  <c r="P6" i="36"/>
  <c r="J34" i="36"/>
  <c r="E6" i="36"/>
  <c r="I6" i="36"/>
  <c r="I34" i="36"/>
  <c r="H6" i="36"/>
  <c r="G6" i="36"/>
  <c r="K34" i="36"/>
  <c r="R6" i="36"/>
  <c r="N6" i="36"/>
  <c r="G34" i="36"/>
  <c r="N34" i="36"/>
  <c r="F6" i="36"/>
  <c r="K6" i="36"/>
  <c r="Q6" i="36"/>
  <c r="O34" i="36"/>
  <c r="Q34" i="36"/>
  <c r="H34" i="36"/>
  <c r="R34" i="36"/>
  <c r="P34" i="36"/>
  <c r="F34" i="36"/>
  <c r="E34" i="36"/>
  <c r="M34" i="36"/>
  <c r="D19" i="19" l="1"/>
  <c r="E18" i="19"/>
  <c r="E17" i="19"/>
  <c r="D17" i="19"/>
  <c r="E16" i="19"/>
  <c r="D16" i="19"/>
  <c r="E19" i="19"/>
  <c r="D18" i="19"/>
  <c r="D120" i="42"/>
  <c r="D127" i="42" l="1"/>
  <c r="L10" i="32"/>
  <c r="N54" i="38" l="1"/>
  <c r="M54" i="38"/>
  <c r="L54" i="38"/>
  <c r="I54" i="38"/>
  <c r="K39" i="38"/>
  <c r="I39" i="38"/>
  <c r="H54" i="38"/>
  <c r="G54" i="38"/>
  <c r="F54" i="38"/>
  <c r="H39" i="38"/>
  <c r="N39" i="38"/>
  <c r="M39" i="38"/>
  <c r="L39" i="38"/>
  <c r="G39" i="38" l="1"/>
  <c r="F39" i="38"/>
  <c r="F24" i="38"/>
  <c r="C39" i="38"/>
  <c r="D24" i="38"/>
  <c r="J24" i="38"/>
  <c r="I24" i="38"/>
  <c r="F9" i="38"/>
  <c r="H24" i="38"/>
  <c r="G24" i="38"/>
  <c r="E9" i="38"/>
  <c r="E24" i="38"/>
  <c r="D9" i="38"/>
  <c r="R57" i="23"/>
  <c r="R66" i="23" s="1"/>
  <c r="Q57" i="23"/>
  <c r="P57" i="23"/>
  <c r="O57" i="23"/>
  <c r="N57" i="23"/>
  <c r="M57" i="23"/>
  <c r="L57" i="23"/>
  <c r="K57" i="23"/>
  <c r="J57" i="23"/>
  <c r="J66" i="23" s="1"/>
  <c r="I57" i="23"/>
  <c r="H57" i="23"/>
  <c r="H66" i="23" s="1"/>
  <c r="G57" i="23"/>
  <c r="F57" i="23"/>
  <c r="R41" i="23"/>
  <c r="R50" i="23" s="1"/>
  <c r="Q41" i="23"/>
  <c r="Q50" i="23" s="1"/>
  <c r="O41" i="23"/>
  <c r="N41" i="23"/>
  <c r="M41" i="23"/>
  <c r="L41" i="23"/>
  <c r="K41" i="23"/>
  <c r="J41" i="23"/>
  <c r="J50" i="23" s="1"/>
  <c r="I41" i="23"/>
  <c r="H41" i="23"/>
  <c r="G41" i="23"/>
  <c r="R25" i="23"/>
  <c r="Q25" i="23"/>
  <c r="P25" i="23"/>
  <c r="O25" i="23"/>
  <c r="N25" i="23"/>
  <c r="M25" i="23"/>
  <c r="L25" i="23"/>
  <c r="K25" i="23"/>
  <c r="J25" i="23"/>
  <c r="I25" i="23"/>
  <c r="H25" i="23"/>
  <c r="G25" i="23"/>
  <c r="J9" i="23"/>
  <c r="J8" i="23" s="1"/>
  <c r="J16" i="23" s="1"/>
  <c r="I9" i="23"/>
  <c r="I8" i="23" s="1"/>
  <c r="I16" i="23" s="1"/>
  <c r="H9" i="23"/>
  <c r="H8" i="23" s="1"/>
  <c r="H16" i="23" s="1"/>
  <c r="G9" i="23"/>
  <c r="G8" i="23" s="1"/>
  <c r="F9" i="23"/>
  <c r="F8" i="23" s="1"/>
  <c r="E9" i="23"/>
  <c r="E8" i="23" s="1"/>
  <c r="E16" i="23" s="1"/>
  <c r="D9" i="23"/>
  <c r="I24" i="23" l="1"/>
  <c r="I32" i="23" s="1"/>
  <c r="M24" i="23"/>
  <c r="M32" i="23" s="1"/>
  <c r="N24" i="23"/>
  <c r="N32" i="23" s="1"/>
  <c r="G16" i="23"/>
  <c r="G12" i="23"/>
  <c r="J24" i="23"/>
  <c r="J32" i="23" s="1"/>
  <c r="K24" i="23"/>
  <c r="K32" i="23" s="1"/>
  <c r="L24" i="23"/>
  <c r="L32" i="23" s="1"/>
  <c r="R24" i="23"/>
  <c r="R32" i="23" s="1"/>
  <c r="R34" i="23"/>
  <c r="O24" i="23"/>
  <c r="O32" i="23" s="1"/>
  <c r="G24" i="23"/>
  <c r="G32" i="23" s="1"/>
  <c r="P24" i="23"/>
  <c r="P32" i="23" s="1"/>
  <c r="Q24" i="23"/>
  <c r="Q32" i="23" s="1"/>
  <c r="H24" i="23"/>
  <c r="H32" i="23" s="1"/>
  <c r="F10" i="23"/>
  <c r="F16" i="23"/>
  <c r="E54" i="38"/>
  <c r="C54" i="38"/>
  <c r="E39" i="38"/>
  <c r="D39" i="38"/>
  <c r="C24" i="38"/>
  <c r="C9" i="38"/>
  <c r="E57" i="23"/>
  <c r="D57" i="23"/>
  <c r="C57" i="23"/>
  <c r="F41" i="23"/>
  <c r="E41" i="23"/>
  <c r="D41" i="23"/>
  <c r="D50" i="23" s="1"/>
  <c r="C41" i="23"/>
  <c r="F25" i="23"/>
  <c r="E25" i="23"/>
  <c r="D25" i="23"/>
  <c r="C25" i="23"/>
  <c r="C9" i="23"/>
  <c r="E3" i="42" l="1"/>
  <c r="D3" i="42"/>
  <c r="K54" i="38" l="1"/>
  <c r="J54" i="38"/>
  <c r="J39" i="38"/>
  <c r="I27" i="19" l="1"/>
  <c r="I6" i="41"/>
  <c r="F14" i="41"/>
  <c r="E13" i="37"/>
  <c r="F13" i="37"/>
  <c r="F36" i="39"/>
  <c r="I6" i="37"/>
  <c r="F24" i="39"/>
  <c r="E99" i="39"/>
  <c r="F6" i="41"/>
  <c r="E14" i="41"/>
  <c r="J6" i="39"/>
  <c r="K24" i="39"/>
  <c r="G14" i="41"/>
  <c r="J14" i="41"/>
  <c r="I6" i="39"/>
  <c r="G24" i="39"/>
  <c r="K6" i="39"/>
  <c r="E6" i="39"/>
  <c r="I32" i="37"/>
  <c r="K36" i="39"/>
  <c r="G6" i="39"/>
  <c r="M36" i="39"/>
  <c r="E36" i="39"/>
  <c r="H32" i="37"/>
  <c r="H6" i="37"/>
  <c r="H99" i="39"/>
  <c r="G99" i="39"/>
  <c r="M99" i="39"/>
  <c r="M6" i="39"/>
  <c r="F6" i="37"/>
  <c r="E6" i="41"/>
  <c r="K99" i="39"/>
  <c r="I36" i="39"/>
  <c r="I14" i="41"/>
  <c r="H13" i="37"/>
  <c r="J30" i="41"/>
  <c r="G13" i="37"/>
  <c r="J99" i="39"/>
  <c r="E32" i="37"/>
  <c r="F99" i="39"/>
  <c r="H6" i="41"/>
  <c r="I99" i="39"/>
  <c r="I13" i="37"/>
  <c r="L6" i="39"/>
  <c r="J13" i="37"/>
  <c r="H30" i="41"/>
  <c r="F32" i="37"/>
  <c r="L99" i="39"/>
  <c r="J36" i="39"/>
  <c r="F6" i="39"/>
  <c r="J24" i="39"/>
  <c r="E6" i="37"/>
  <c r="L36" i="39"/>
  <c r="L24" i="39"/>
  <c r="I24" i="39"/>
  <c r="G30" i="41"/>
  <c r="I30" i="41"/>
  <c r="H14" i="41"/>
  <c r="G6" i="41"/>
  <c r="E24" i="39"/>
  <c r="J6" i="37"/>
  <c r="H36" i="39"/>
  <c r="H24" i="39"/>
  <c r="G6" i="37"/>
  <c r="M24" i="39"/>
  <c r="H6" i="39"/>
  <c r="J6" i="41"/>
  <c r="E30" i="41"/>
  <c r="J32" i="37"/>
  <c r="G36" i="39"/>
  <c r="G27" i="19" l="1"/>
  <c r="I25" i="19"/>
  <c r="I26" i="19"/>
  <c r="H26" i="19"/>
  <c r="D27" i="19"/>
  <c r="H25" i="19"/>
  <c r="E27" i="19"/>
  <c r="D26" i="19"/>
  <c r="F27" i="19"/>
  <c r="E26" i="19"/>
  <c r="F26" i="19"/>
  <c r="H27" i="19"/>
  <c r="G26" i="19"/>
  <c r="J17" i="19"/>
  <c r="I17" i="19"/>
  <c r="I18" i="19"/>
  <c r="I19" i="19"/>
  <c r="J16" i="19"/>
  <c r="K16" i="19"/>
  <c r="K17" i="19"/>
  <c r="K18" i="19"/>
  <c r="K19" i="19"/>
  <c r="J19" i="19"/>
  <c r="D25" i="19"/>
  <c r="J18" i="19"/>
  <c r="F16" i="19"/>
  <c r="E25" i="19"/>
  <c r="F17" i="19"/>
  <c r="F18" i="19"/>
  <c r="F19" i="19"/>
  <c r="G16" i="19"/>
  <c r="F25" i="19"/>
  <c r="G17" i="19"/>
  <c r="G18" i="19"/>
  <c r="G19" i="19"/>
  <c r="H16" i="19"/>
  <c r="G25" i="19"/>
  <c r="H17" i="19"/>
  <c r="H18" i="19"/>
  <c r="H19" i="19"/>
  <c r="I16" i="19"/>
  <c r="K20" i="19" l="1"/>
  <c r="L24" i="32"/>
  <c r="L23" i="32"/>
  <c r="L22" i="32"/>
  <c r="L21" i="32"/>
  <c r="L20" i="32"/>
  <c r="L19" i="32"/>
  <c r="L18" i="32"/>
  <c r="L17" i="32"/>
  <c r="L16" i="32"/>
  <c r="L15" i="32"/>
  <c r="L14" i="32"/>
  <c r="L13" i="32"/>
  <c r="L12" i="32"/>
  <c r="L11" i="32"/>
  <c r="L9" i="32"/>
  <c r="L8" i="32"/>
  <c r="L7" i="32"/>
  <c r="L6" i="32"/>
  <c r="L5" i="32"/>
  <c r="L4" i="32"/>
  <c r="L3" i="32"/>
  <c r="C3" i="42" s="1"/>
  <c r="I3" i="42" s="1"/>
  <c r="L2" i="32"/>
  <c r="L129" i="32"/>
  <c r="L128" i="32"/>
  <c r="L127" i="32"/>
  <c r="L126" i="32"/>
  <c r="L125" i="32"/>
  <c r="L124" i="32"/>
  <c r="L123" i="32"/>
  <c r="L122" i="32"/>
  <c r="L121" i="32"/>
  <c r="L120" i="32"/>
  <c r="L119" i="32"/>
  <c r="L118" i="32"/>
  <c r="L117" i="32"/>
  <c r="L116" i="32"/>
  <c r="L115" i="32"/>
  <c r="L114" i="32"/>
  <c r="L113" i="32"/>
  <c r="L112" i="32"/>
  <c r="L111" i="32"/>
  <c r="L110" i="32"/>
  <c r="L109" i="32"/>
  <c r="L108" i="32"/>
  <c r="L107" i="32"/>
  <c r="L106" i="32"/>
  <c r="L105" i="32"/>
  <c r="L104" i="32"/>
  <c r="L103" i="32"/>
  <c r="L102" i="32"/>
  <c r="L101" i="32"/>
  <c r="L100" i="32"/>
  <c r="L99" i="32"/>
  <c r="L98" i="32"/>
  <c r="L97" i="32"/>
  <c r="L96" i="32"/>
  <c r="L95" i="32"/>
  <c r="L94" i="32"/>
  <c r="L93" i="32"/>
  <c r="L92" i="32"/>
  <c r="L91" i="32"/>
  <c r="L90" i="32"/>
  <c r="L89" i="32"/>
  <c r="L88" i="32"/>
  <c r="L87" i="32"/>
  <c r="L86" i="32"/>
  <c r="L85" i="32"/>
  <c r="L84" i="32"/>
  <c r="L83" i="32"/>
  <c r="L82" i="32"/>
  <c r="L81" i="32"/>
  <c r="L80" i="32"/>
  <c r="L79" i="32"/>
  <c r="L78" i="32"/>
  <c r="L77" i="32"/>
  <c r="L76" i="32"/>
  <c r="L75" i="32"/>
  <c r="L74" i="32"/>
  <c r="L73" i="32"/>
  <c r="L72" i="32"/>
  <c r="L71" i="32"/>
  <c r="L70" i="32"/>
  <c r="L69" i="32"/>
  <c r="L68" i="32"/>
  <c r="L67" i="32"/>
  <c r="L66" i="32"/>
  <c r="L65" i="32"/>
  <c r="L64" i="32"/>
  <c r="L63" i="32"/>
  <c r="L62" i="32"/>
  <c r="L61" i="32"/>
  <c r="L60" i="32"/>
  <c r="L59" i="32"/>
  <c r="L58" i="32"/>
  <c r="L57" i="32"/>
  <c r="L56" i="32"/>
  <c r="L55" i="32"/>
  <c r="L54" i="32"/>
  <c r="L53" i="32"/>
  <c r="L52" i="32"/>
  <c r="L51" i="32"/>
  <c r="L50" i="32"/>
  <c r="L49" i="32"/>
  <c r="L48" i="32"/>
  <c r="L47" i="32"/>
  <c r="L46" i="32"/>
  <c r="L45" i="32"/>
  <c r="L44" i="32"/>
  <c r="L43" i="32"/>
  <c r="L42" i="32"/>
  <c r="L41" i="32"/>
  <c r="L40" i="32"/>
  <c r="L39" i="32"/>
  <c r="L38" i="32"/>
  <c r="L37" i="32"/>
  <c r="L36" i="32"/>
  <c r="L35" i="32"/>
  <c r="L34" i="32"/>
  <c r="L33" i="32"/>
  <c r="L32" i="32"/>
  <c r="L31" i="32"/>
  <c r="L30" i="32"/>
  <c r="L29" i="32"/>
  <c r="L28" i="32"/>
  <c r="L27" i="32"/>
  <c r="L26" i="32"/>
  <c r="L25" i="32"/>
  <c r="L40" i="23" l="1"/>
  <c r="L48" i="23" s="1"/>
  <c r="C24" i="23"/>
  <c r="C32" i="23" s="1"/>
  <c r="D8" i="23"/>
  <c r="D16" i="23" s="1"/>
  <c r="C8" i="23"/>
  <c r="C16" i="23" s="1"/>
  <c r="C40" i="23" l="1"/>
  <c r="C8" i="38"/>
  <c r="D24" i="23"/>
  <c r="D32" i="23" s="1"/>
  <c r="E24" i="23"/>
  <c r="E32" i="23" s="1"/>
  <c r="F24" i="23"/>
  <c r="F32" i="23" s="1"/>
  <c r="C14" i="38" l="1"/>
  <c r="C15" i="38"/>
  <c r="C42" i="23"/>
  <c r="C48" i="23"/>
  <c r="E13" i="23"/>
  <c r="C11" i="23" l="1"/>
  <c r="F129" i="42"/>
  <c r="E129" i="42"/>
  <c r="D129" i="42"/>
  <c r="C129" i="42"/>
  <c r="I129" i="42" s="1"/>
  <c r="F128" i="42"/>
  <c r="E128" i="42"/>
  <c r="D128" i="42"/>
  <c r="C128" i="42"/>
  <c r="I128" i="42" s="1"/>
  <c r="F127" i="42"/>
  <c r="E127" i="42"/>
  <c r="C127" i="42"/>
  <c r="I127" i="42" s="1"/>
  <c r="F126" i="42"/>
  <c r="E126" i="42"/>
  <c r="D126" i="42"/>
  <c r="C126" i="42"/>
  <c r="I126" i="42" s="1"/>
  <c r="F125" i="42"/>
  <c r="E125" i="42"/>
  <c r="C125" i="42"/>
  <c r="I125" i="42" s="1"/>
  <c r="F124" i="42"/>
  <c r="E124" i="42"/>
  <c r="D124" i="42"/>
  <c r="C124" i="42"/>
  <c r="I124" i="42" s="1"/>
  <c r="F123" i="42"/>
  <c r="E123" i="42"/>
  <c r="D123" i="42"/>
  <c r="C123" i="42"/>
  <c r="I123" i="42" s="1"/>
  <c r="F122" i="42"/>
  <c r="E122" i="42"/>
  <c r="D122" i="42"/>
  <c r="C122" i="42"/>
  <c r="I122" i="42" s="1"/>
  <c r="F121" i="42"/>
  <c r="E121" i="42"/>
  <c r="D121" i="42"/>
  <c r="C121" i="42"/>
  <c r="I121" i="42" s="1"/>
  <c r="F120" i="42"/>
  <c r="E120" i="42"/>
  <c r="C120" i="42"/>
  <c r="I120" i="42" s="1"/>
  <c r="F119" i="42"/>
  <c r="E119" i="42"/>
  <c r="D119" i="42"/>
  <c r="C119" i="42"/>
  <c r="I119" i="42" s="1"/>
  <c r="F118" i="42"/>
  <c r="E118" i="42"/>
  <c r="D118" i="42"/>
  <c r="C118" i="42"/>
  <c r="I118" i="42" s="1"/>
  <c r="F117" i="42"/>
  <c r="E117" i="42"/>
  <c r="D117" i="42"/>
  <c r="C117" i="42"/>
  <c r="I117" i="42" s="1"/>
  <c r="F116" i="42"/>
  <c r="E116" i="42"/>
  <c r="D116" i="42"/>
  <c r="C116" i="42"/>
  <c r="I116" i="42" s="1"/>
  <c r="F115" i="42"/>
  <c r="E115" i="42"/>
  <c r="D115" i="42"/>
  <c r="C115" i="42"/>
  <c r="I115" i="42" s="1"/>
  <c r="F114" i="42"/>
  <c r="E114" i="42"/>
  <c r="D114" i="42"/>
  <c r="C114" i="42"/>
  <c r="I114" i="42" s="1"/>
  <c r="F113" i="42"/>
  <c r="E113" i="42"/>
  <c r="D113" i="42"/>
  <c r="C113" i="42"/>
  <c r="I113" i="42" s="1"/>
  <c r="F112" i="42"/>
  <c r="E112" i="42"/>
  <c r="D112" i="42"/>
  <c r="C112" i="42"/>
  <c r="I112" i="42" s="1"/>
  <c r="F111" i="42"/>
  <c r="E111" i="42"/>
  <c r="D111" i="42"/>
  <c r="C111" i="42"/>
  <c r="I111" i="42" s="1"/>
  <c r="F110" i="42"/>
  <c r="E110" i="42"/>
  <c r="D110" i="42"/>
  <c r="C110" i="42"/>
  <c r="I110" i="42" s="1"/>
  <c r="F109" i="42"/>
  <c r="E109" i="42"/>
  <c r="D109" i="42"/>
  <c r="C109" i="42"/>
  <c r="I109" i="42" s="1"/>
  <c r="F108" i="42"/>
  <c r="E108" i="42"/>
  <c r="D108" i="42"/>
  <c r="C108" i="42"/>
  <c r="I108" i="42" s="1"/>
  <c r="F107" i="42"/>
  <c r="E107" i="42"/>
  <c r="D107" i="42"/>
  <c r="C107" i="42"/>
  <c r="I107" i="42" s="1"/>
  <c r="F106" i="42"/>
  <c r="E106" i="42"/>
  <c r="D106" i="42"/>
  <c r="C106" i="42"/>
  <c r="I106" i="42" s="1"/>
  <c r="F105" i="42"/>
  <c r="E105" i="42"/>
  <c r="D105" i="42"/>
  <c r="C105" i="42"/>
  <c r="I105" i="42" s="1"/>
  <c r="F104" i="42"/>
  <c r="E104" i="42"/>
  <c r="D104" i="42"/>
  <c r="C104" i="42"/>
  <c r="I104" i="42" s="1"/>
  <c r="F103" i="42"/>
  <c r="E103" i="42"/>
  <c r="D103" i="42"/>
  <c r="C103" i="42"/>
  <c r="I103" i="42" s="1"/>
  <c r="F102" i="42"/>
  <c r="E102" i="42"/>
  <c r="D102" i="42"/>
  <c r="C102" i="42"/>
  <c r="I102" i="42" s="1"/>
  <c r="F101" i="42"/>
  <c r="E101" i="42"/>
  <c r="D101" i="42"/>
  <c r="C101" i="42"/>
  <c r="I101" i="42" s="1"/>
  <c r="F100" i="42"/>
  <c r="E100" i="42"/>
  <c r="D100" i="42"/>
  <c r="C100" i="42"/>
  <c r="I100" i="42" s="1"/>
  <c r="F99" i="42"/>
  <c r="E99" i="42"/>
  <c r="D99" i="42"/>
  <c r="C99" i="42"/>
  <c r="I99" i="42" s="1"/>
  <c r="F98" i="42"/>
  <c r="E98" i="42"/>
  <c r="D98" i="42"/>
  <c r="C98" i="42"/>
  <c r="I98" i="42" s="1"/>
  <c r="F97" i="42"/>
  <c r="E97" i="42"/>
  <c r="D97" i="42"/>
  <c r="C97" i="42"/>
  <c r="I97" i="42" s="1"/>
  <c r="F96" i="42"/>
  <c r="E96" i="42"/>
  <c r="D96" i="42"/>
  <c r="C96" i="42"/>
  <c r="I96" i="42" s="1"/>
  <c r="F95" i="42"/>
  <c r="E95" i="42"/>
  <c r="D95" i="42"/>
  <c r="C95" i="42"/>
  <c r="I95" i="42" s="1"/>
  <c r="F94" i="42"/>
  <c r="E94" i="42"/>
  <c r="D94" i="42"/>
  <c r="C94" i="42"/>
  <c r="I94" i="42" s="1"/>
  <c r="F93" i="42"/>
  <c r="E93" i="42"/>
  <c r="D93" i="42"/>
  <c r="C93" i="42"/>
  <c r="I93" i="42" s="1"/>
  <c r="F92" i="42"/>
  <c r="E92" i="42"/>
  <c r="D92" i="42"/>
  <c r="C92" i="42"/>
  <c r="I92" i="42" s="1"/>
  <c r="F91" i="42"/>
  <c r="E91" i="42"/>
  <c r="D91" i="42"/>
  <c r="C91" i="42"/>
  <c r="I91" i="42" s="1"/>
  <c r="F90" i="42"/>
  <c r="E90" i="42"/>
  <c r="D90" i="42"/>
  <c r="C90" i="42"/>
  <c r="I90" i="42" s="1"/>
  <c r="F89" i="42"/>
  <c r="E89" i="42"/>
  <c r="D89" i="42"/>
  <c r="C89" i="42"/>
  <c r="I89" i="42" s="1"/>
  <c r="F88" i="42"/>
  <c r="E88" i="42"/>
  <c r="D88" i="42"/>
  <c r="C88" i="42"/>
  <c r="I88" i="42" s="1"/>
  <c r="F87" i="42"/>
  <c r="E87" i="42"/>
  <c r="D87" i="42"/>
  <c r="C87" i="42"/>
  <c r="I87" i="42" s="1"/>
  <c r="F86" i="42"/>
  <c r="E86" i="42"/>
  <c r="D86" i="42"/>
  <c r="C86" i="42"/>
  <c r="I86" i="42" s="1"/>
  <c r="F85" i="42"/>
  <c r="E85" i="42"/>
  <c r="D85" i="42"/>
  <c r="C85" i="42"/>
  <c r="I85" i="42" s="1"/>
  <c r="F84" i="42"/>
  <c r="E84" i="42"/>
  <c r="D84" i="42"/>
  <c r="C84" i="42"/>
  <c r="I84" i="42" s="1"/>
  <c r="F83" i="42"/>
  <c r="E83" i="42"/>
  <c r="D83" i="42"/>
  <c r="C83" i="42"/>
  <c r="I83" i="42" s="1"/>
  <c r="F82" i="42"/>
  <c r="E82" i="42"/>
  <c r="D82" i="42"/>
  <c r="C82" i="42"/>
  <c r="I82" i="42" s="1"/>
  <c r="F81" i="42"/>
  <c r="E81" i="42"/>
  <c r="D81" i="42"/>
  <c r="C81" i="42"/>
  <c r="I81" i="42" s="1"/>
  <c r="F80" i="42"/>
  <c r="E80" i="42"/>
  <c r="D80" i="42"/>
  <c r="C80" i="42"/>
  <c r="I80" i="42" s="1"/>
  <c r="F79" i="42"/>
  <c r="E79" i="42"/>
  <c r="D79" i="42"/>
  <c r="C79" i="42"/>
  <c r="I79" i="42" s="1"/>
  <c r="F78" i="42"/>
  <c r="E78" i="42"/>
  <c r="D78" i="42"/>
  <c r="C78" i="42"/>
  <c r="I78" i="42" s="1"/>
  <c r="F77" i="42"/>
  <c r="E77" i="42"/>
  <c r="D77" i="42"/>
  <c r="C77" i="42"/>
  <c r="I77" i="42" s="1"/>
  <c r="F76" i="42"/>
  <c r="E76" i="42"/>
  <c r="D76" i="42"/>
  <c r="C76" i="42"/>
  <c r="I76" i="42" s="1"/>
  <c r="F75" i="42"/>
  <c r="E75" i="42"/>
  <c r="D75" i="42"/>
  <c r="C75" i="42"/>
  <c r="I75" i="42" s="1"/>
  <c r="F74" i="42"/>
  <c r="E74" i="42"/>
  <c r="D74" i="42"/>
  <c r="C74" i="42"/>
  <c r="I74" i="42" s="1"/>
  <c r="F73" i="42"/>
  <c r="E73" i="42"/>
  <c r="D73" i="42"/>
  <c r="C73" i="42"/>
  <c r="I73" i="42" s="1"/>
  <c r="F72" i="42"/>
  <c r="E72" i="42"/>
  <c r="D72" i="42"/>
  <c r="C72" i="42"/>
  <c r="I72" i="42" s="1"/>
  <c r="F71" i="42"/>
  <c r="E71" i="42"/>
  <c r="D71" i="42"/>
  <c r="C71" i="42"/>
  <c r="I71" i="42" s="1"/>
  <c r="F70" i="42"/>
  <c r="E70" i="42"/>
  <c r="D70" i="42"/>
  <c r="C70" i="42"/>
  <c r="I70" i="42" s="1"/>
  <c r="F69" i="42"/>
  <c r="E69" i="42"/>
  <c r="D69" i="42"/>
  <c r="C69" i="42"/>
  <c r="I69" i="42" s="1"/>
  <c r="F68" i="42"/>
  <c r="E68" i="42"/>
  <c r="D68" i="42"/>
  <c r="C68" i="42"/>
  <c r="I68" i="42" s="1"/>
  <c r="F67" i="42"/>
  <c r="E67" i="42"/>
  <c r="D67" i="42"/>
  <c r="C67" i="42"/>
  <c r="I67" i="42" s="1"/>
  <c r="F66" i="42"/>
  <c r="E66" i="42"/>
  <c r="D66" i="42"/>
  <c r="C66" i="42"/>
  <c r="I66" i="42" s="1"/>
  <c r="F65" i="42"/>
  <c r="E65" i="42"/>
  <c r="D65" i="42"/>
  <c r="C65" i="42"/>
  <c r="I65" i="42" s="1"/>
  <c r="F64" i="42"/>
  <c r="E64" i="42"/>
  <c r="D64" i="42"/>
  <c r="C64" i="42"/>
  <c r="I64" i="42" s="1"/>
  <c r="F63" i="42"/>
  <c r="E63" i="42"/>
  <c r="D63" i="42"/>
  <c r="C63" i="42"/>
  <c r="I63" i="42" s="1"/>
  <c r="F62" i="42"/>
  <c r="E62" i="42"/>
  <c r="D62" i="42"/>
  <c r="C62" i="42"/>
  <c r="I62" i="42" s="1"/>
  <c r="F61" i="42"/>
  <c r="E61" i="42"/>
  <c r="D61" i="42"/>
  <c r="C61" i="42"/>
  <c r="I61" i="42" s="1"/>
  <c r="F60" i="42"/>
  <c r="E60" i="42"/>
  <c r="D60" i="42"/>
  <c r="C60" i="42"/>
  <c r="I60" i="42" s="1"/>
  <c r="F59" i="42"/>
  <c r="E59" i="42"/>
  <c r="D59" i="42"/>
  <c r="C59" i="42"/>
  <c r="I59" i="42" s="1"/>
  <c r="F58" i="42"/>
  <c r="E58" i="42"/>
  <c r="D58" i="42"/>
  <c r="C58" i="42"/>
  <c r="F57" i="42"/>
  <c r="E57" i="42"/>
  <c r="D57" i="42"/>
  <c r="C57" i="42"/>
  <c r="I57" i="42" s="1"/>
  <c r="F56" i="42"/>
  <c r="E56" i="42"/>
  <c r="D56" i="42"/>
  <c r="C56" i="42"/>
  <c r="I56" i="42" s="1"/>
  <c r="F55" i="42"/>
  <c r="E55" i="42"/>
  <c r="D55" i="42"/>
  <c r="C55" i="42"/>
  <c r="I55" i="42" s="1"/>
  <c r="F54" i="42"/>
  <c r="E54" i="42"/>
  <c r="D54" i="42"/>
  <c r="C54" i="42"/>
  <c r="I54" i="42" s="1"/>
  <c r="F53" i="42"/>
  <c r="E53" i="42"/>
  <c r="D53" i="42"/>
  <c r="C53" i="42"/>
  <c r="I53" i="42" s="1"/>
  <c r="F52" i="42"/>
  <c r="E52" i="42"/>
  <c r="D52" i="42"/>
  <c r="C52" i="42"/>
  <c r="I52" i="42" s="1"/>
  <c r="F51" i="42"/>
  <c r="E51" i="42"/>
  <c r="D51" i="42"/>
  <c r="C51" i="42"/>
  <c r="I51" i="42" s="1"/>
  <c r="F50" i="42"/>
  <c r="E50" i="42"/>
  <c r="D50" i="42"/>
  <c r="C50" i="42"/>
  <c r="I50" i="42" s="1"/>
  <c r="F49" i="42"/>
  <c r="E49" i="42"/>
  <c r="D49" i="42"/>
  <c r="C49" i="42"/>
  <c r="I49" i="42" s="1"/>
  <c r="F48" i="42"/>
  <c r="E48" i="42"/>
  <c r="D48" i="42"/>
  <c r="C48" i="42"/>
  <c r="I48" i="42" s="1"/>
  <c r="F47" i="42"/>
  <c r="E47" i="42"/>
  <c r="D47" i="42"/>
  <c r="C47" i="42"/>
  <c r="I47" i="42" s="1"/>
  <c r="F46" i="42"/>
  <c r="E46" i="42"/>
  <c r="D46" i="42"/>
  <c r="C46" i="42"/>
  <c r="I46" i="42" s="1"/>
  <c r="F45" i="42"/>
  <c r="E45" i="42"/>
  <c r="D45" i="42"/>
  <c r="C45" i="42"/>
  <c r="I45" i="42" s="1"/>
  <c r="F44" i="42"/>
  <c r="E44" i="42"/>
  <c r="D44" i="42"/>
  <c r="C44" i="42"/>
  <c r="I44" i="42" s="1"/>
  <c r="F43" i="42"/>
  <c r="E43" i="42"/>
  <c r="D43" i="42"/>
  <c r="C43" i="42"/>
  <c r="I43" i="42" s="1"/>
  <c r="F42" i="42"/>
  <c r="E42" i="42"/>
  <c r="D42" i="42"/>
  <c r="C42" i="42"/>
  <c r="I42" i="42" s="1"/>
  <c r="F41" i="42"/>
  <c r="E41" i="42"/>
  <c r="D41" i="42"/>
  <c r="C41" i="42"/>
  <c r="I41" i="42" s="1"/>
  <c r="F40" i="42"/>
  <c r="E40" i="42"/>
  <c r="D40" i="42"/>
  <c r="C40" i="42"/>
  <c r="I40" i="42" s="1"/>
  <c r="F39" i="42"/>
  <c r="E39" i="42"/>
  <c r="D39" i="42"/>
  <c r="C39" i="42"/>
  <c r="I39" i="42" s="1"/>
  <c r="F38" i="42"/>
  <c r="E38" i="42"/>
  <c r="D38" i="42"/>
  <c r="C38" i="42"/>
  <c r="I38" i="42" s="1"/>
  <c r="F37" i="42"/>
  <c r="E37" i="42"/>
  <c r="D37" i="42"/>
  <c r="C37" i="42"/>
  <c r="I37" i="42" s="1"/>
  <c r="F36" i="42"/>
  <c r="E36" i="42"/>
  <c r="D36" i="42"/>
  <c r="C36" i="42"/>
  <c r="I36" i="42" s="1"/>
  <c r="F35" i="42"/>
  <c r="E35" i="42"/>
  <c r="D35" i="42"/>
  <c r="C35" i="42"/>
  <c r="I35" i="42" s="1"/>
  <c r="F34" i="42"/>
  <c r="E34" i="42"/>
  <c r="D34" i="42"/>
  <c r="C34" i="42"/>
  <c r="I34" i="42" s="1"/>
  <c r="F33" i="42"/>
  <c r="E33" i="42"/>
  <c r="D33" i="42"/>
  <c r="C33" i="42"/>
  <c r="I33" i="42" s="1"/>
  <c r="F32" i="42"/>
  <c r="E32" i="42"/>
  <c r="D32" i="42"/>
  <c r="C32" i="42"/>
  <c r="I32" i="42" s="1"/>
  <c r="F31" i="42"/>
  <c r="E31" i="42"/>
  <c r="D31" i="42"/>
  <c r="C31" i="42"/>
  <c r="I31" i="42" s="1"/>
  <c r="F30" i="42"/>
  <c r="E30" i="42"/>
  <c r="D30" i="42"/>
  <c r="C30" i="42"/>
  <c r="I30" i="42" s="1"/>
  <c r="F29" i="42"/>
  <c r="E29" i="42"/>
  <c r="D29" i="42"/>
  <c r="C29" i="42"/>
  <c r="I29" i="42" s="1"/>
  <c r="F28" i="42"/>
  <c r="E28" i="42"/>
  <c r="D28" i="42"/>
  <c r="C28" i="42"/>
  <c r="I28" i="42" s="1"/>
  <c r="F27" i="42"/>
  <c r="E27" i="42"/>
  <c r="D27" i="42"/>
  <c r="C27" i="42"/>
  <c r="I27" i="42" s="1"/>
  <c r="F26" i="42"/>
  <c r="E26" i="42"/>
  <c r="D26" i="42"/>
  <c r="C26" i="42"/>
  <c r="I26" i="42" s="1"/>
  <c r="F25" i="42"/>
  <c r="E25" i="42"/>
  <c r="D25" i="42"/>
  <c r="C25" i="42"/>
  <c r="I25" i="42" s="1"/>
  <c r="F24" i="42"/>
  <c r="E24" i="42"/>
  <c r="D24" i="42"/>
  <c r="C24" i="42"/>
  <c r="I24" i="42" s="1"/>
  <c r="F23" i="42"/>
  <c r="E23" i="42"/>
  <c r="D23" i="42"/>
  <c r="C23" i="42"/>
  <c r="I23" i="42" s="1"/>
  <c r="F22" i="42"/>
  <c r="E22" i="42"/>
  <c r="D22" i="42"/>
  <c r="C22" i="42"/>
  <c r="I22" i="42" s="1"/>
  <c r="F21" i="42"/>
  <c r="E21" i="42"/>
  <c r="D21" i="42"/>
  <c r="C21" i="42"/>
  <c r="I21" i="42" s="1"/>
  <c r="F20" i="42"/>
  <c r="E20" i="42"/>
  <c r="D20" i="42"/>
  <c r="C20" i="42"/>
  <c r="I20" i="42" s="1"/>
  <c r="F19" i="42"/>
  <c r="E19" i="42"/>
  <c r="D19" i="42"/>
  <c r="C19" i="42"/>
  <c r="I19" i="42" s="1"/>
  <c r="F18" i="42"/>
  <c r="E18" i="42"/>
  <c r="D18" i="42"/>
  <c r="C18" i="42"/>
  <c r="I18" i="42" s="1"/>
  <c r="F17" i="42"/>
  <c r="E17" i="42"/>
  <c r="D17" i="42"/>
  <c r="C17" i="42"/>
  <c r="I17" i="42" s="1"/>
  <c r="F16" i="42"/>
  <c r="E16" i="42"/>
  <c r="D16" i="42"/>
  <c r="C16" i="42"/>
  <c r="I16" i="42" s="1"/>
  <c r="F15" i="42"/>
  <c r="E15" i="42"/>
  <c r="D15" i="42"/>
  <c r="C15" i="42"/>
  <c r="I15" i="42" s="1"/>
  <c r="F14" i="42"/>
  <c r="E14" i="42"/>
  <c r="D14" i="42"/>
  <c r="C14" i="42"/>
  <c r="I14" i="42" s="1"/>
  <c r="F13" i="42"/>
  <c r="E13" i="42"/>
  <c r="D13" i="42"/>
  <c r="C13" i="42"/>
  <c r="I13" i="42" s="1"/>
  <c r="F12" i="42"/>
  <c r="E12" i="42"/>
  <c r="D12" i="42"/>
  <c r="C12" i="42"/>
  <c r="I12" i="42" s="1"/>
  <c r="F11" i="42"/>
  <c r="E11" i="42"/>
  <c r="D11" i="42"/>
  <c r="C11" i="42"/>
  <c r="I11" i="42" s="1"/>
  <c r="F10" i="42"/>
  <c r="E10" i="42"/>
  <c r="D10" i="42"/>
  <c r="C10" i="42"/>
  <c r="F9" i="42"/>
  <c r="E9" i="42"/>
  <c r="D9" i="42"/>
  <c r="C9" i="42"/>
  <c r="I9" i="42" s="1"/>
  <c r="F8" i="42"/>
  <c r="E8" i="42"/>
  <c r="D8" i="42"/>
  <c r="C8" i="42"/>
  <c r="I8" i="42" s="1"/>
  <c r="F7" i="42"/>
  <c r="E7" i="42"/>
  <c r="D7" i="42"/>
  <c r="C7" i="42"/>
  <c r="I7" i="42" s="1"/>
  <c r="F6" i="42"/>
  <c r="E6" i="42"/>
  <c r="D6" i="42"/>
  <c r="C6" i="42"/>
  <c r="I6" i="42" s="1"/>
  <c r="F5" i="42"/>
  <c r="E5" i="42"/>
  <c r="D5" i="42"/>
  <c r="C5" i="42"/>
  <c r="I5" i="42" s="1"/>
  <c r="F4" i="42"/>
  <c r="E4" i="42"/>
  <c r="D4" i="42"/>
  <c r="C4" i="42"/>
  <c r="I4" i="42" s="1"/>
  <c r="F3" i="42"/>
  <c r="B3" i="42" s="1"/>
  <c r="F2" i="42"/>
  <c r="E2" i="42"/>
  <c r="D2" i="42"/>
  <c r="N40" i="23"/>
  <c r="N48" i="23" s="1"/>
  <c r="K58" i="42" l="1"/>
  <c r="I58" i="42"/>
  <c r="K10" i="42"/>
  <c r="I10" i="42"/>
  <c r="B37" i="42"/>
  <c r="B125" i="42"/>
  <c r="H103" i="42"/>
  <c r="L103" i="42" l="1"/>
  <c r="O103" i="42" s="1"/>
  <c r="K9" i="42"/>
  <c r="K129" i="42"/>
  <c r="D24" i="33"/>
  <c r="D32" i="33" s="1"/>
  <c r="K126" i="42" l="1"/>
  <c r="K122" i="42"/>
  <c r="K118" i="42"/>
  <c r="K114" i="42"/>
  <c r="K110" i="42"/>
  <c r="K106" i="42"/>
  <c r="K102" i="42"/>
  <c r="K98" i="42"/>
  <c r="K94" i="42"/>
  <c r="K90" i="42"/>
  <c r="K86" i="42"/>
  <c r="K82" i="42"/>
  <c r="K78" i="42"/>
  <c r="K74" i="42"/>
  <c r="K70" i="42"/>
  <c r="K66" i="42"/>
  <c r="K62" i="42"/>
  <c r="K54" i="42"/>
  <c r="K50" i="42"/>
  <c r="K46" i="42"/>
  <c r="K42" i="42"/>
  <c r="H41" i="42"/>
  <c r="L41" i="42" s="1"/>
  <c r="O41" i="42" s="1"/>
  <c r="K38" i="42"/>
  <c r="H37" i="42"/>
  <c r="L37" i="42" s="1"/>
  <c r="O37" i="42" s="1"/>
  <c r="K34" i="42"/>
  <c r="K30" i="42"/>
  <c r="K26" i="42"/>
  <c r="K22" i="42"/>
  <c r="K18" i="42"/>
  <c r="K14" i="42"/>
  <c r="K6" i="42"/>
  <c r="C2" i="42"/>
  <c r="D27" i="23"/>
  <c r="K128" i="42"/>
  <c r="K127" i="42"/>
  <c r="K125" i="42"/>
  <c r="K124" i="42"/>
  <c r="K123" i="42"/>
  <c r="K121" i="42"/>
  <c r="K120" i="42"/>
  <c r="K119" i="42"/>
  <c r="K117" i="42"/>
  <c r="K116" i="42"/>
  <c r="K115" i="42"/>
  <c r="K113" i="42"/>
  <c r="K112" i="42"/>
  <c r="K111" i="42"/>
  <c r="K109" i="42"/>
  <c r="K108" i="42"/>
  <c r="K107" i="42"/>
  <c r="K105" i="42"/>
  <c r="K104" i="42"/>
  <c r="K103" i="42"/>
  <c r="N103" i="42" s="1"/>
  <c r="K101" i="42"/>
  <c r="K100" i="42"/>
  <c r="K99" i="42"/>
  <c r="K97" i="42"/>
  <c r="K96" i="42"/>
  <c r="K95" i="42"/>
  <c r="K93" i="42"/>
  <c r="K92" i="42"/>
  <c r="K91" i="42"/>
  <c r="K89" i="42"/>
  <c r="K88" i="42"/>
  <c r="K87" i="42"/>
  <c r="K85" i="42"/>
  <c r="K84" i="42"/>
  <c r="K83" i="42"/>
  <c r="K81" i="42"/>
  <c r="K80" i="42"/>
  <c r="K79" i="42"/>
  <c r="K77" i="42"/>
  <c r="K76" i="42"/>
  <c r="K75" i="42"/>
  <c r="K73" i="42"/>
  <c r="K72" i="42"/>
  <c r="K71" i="42"/>
  <c r="K69" i="42"/>
  <c r="K68" i="42"/>
  <c r="K67" i="42"/>
  <c r="K65" i="42"/>
  <c r="K64" i="42"/>
  <c r="K63" i="42"/>
  <c r="K61" i="42"/>
  <c r="K60" i="42"/>
  <c r="K59" i="42"/>
  <c r="K57" i="42"/>
  <c r="K56" i="42"/>
  <c r="K55" i="42"/>
  <c r="K53" i="42"/>
  <c r="K52" i="42"/>
  <c r="K51" i="42"/>
  <c r="K49" i="42"/>
  <c r="K48" i="42"/>
  <c r="K47" i="42"/>
  <c r="K45" i="42"/>
  <c r="K44" i="42"/>
  <c r="K43" i="42"/>
  <c r="K40" i="42"/>
  <c r="K39" i="42"/>
  <c r="K36" i="42"/>
  <c r="K35" i="42"/>
  <c r="K33" i="42"/>
  <c r="K32" i="42"/>
  <c r="K31" i="42"/>
  <c r="K29" i="42"/>
  <c r="K28" i="42"/>
  <c r="K27" i="42"/>
  <c r="K25" i="42"/>
  <c r="K24" i="42"/>
  <c r="K23" i="42"/>
  <c r="K21" i="42"/>
  <c r="K20" i="42"/>
  <c r="K19" i="42"/>
  <c r="K17" i="42"/>
  <c r="K16" i="42"/>
  <c r="K15" i="42"/>
  <c r="K13" i="42"/>
  <c r="K12" i="42"/>
  <c r="K11" i="42"/>
  <c r="K8" i="42"/>
  <c r="K7" i="42"/>
  <c r="K5" i="42"/>
  <c r="K4" i="42"/>
  <c r="K3" i="42"/>
  <c r="J129" i="42"/>
  <c r="J128" i="42"/>
  <c r="J127" i="42"/>
  <c r="J126" i="42"/>
  <c r="J125" i="42"/>
  <c r="J124" i="42"/>
  <c r="J123" i="42"/>
  <c r="J122" i="42"/>
  <c r="J121" i="42"/>
  <c r="J120" i="42"/>
  <c r="J119" i="42"/>
  <c r="J118" i="42"/>
  <c r="J117" i="42"/>
  <c r="J116" i="42"/>
  <c r="J115" i="42"/>
  <c r="J114" i="42"/>
  <c r="J113" i="42"/>
  <c r="J112" i="42"/>
  <c r="J111" i="42"/>
  <c r="J110" i="42"/>
  <c r="J109" i="42"/>
  <c r="J108" i="42"/>
  <c r="J107" i="42"/>
  <c r="J106" i="42"/>
  <c r="J105" i="42"/>
  <c r="J104" i="42"/>
  <c r="J103" i="42"/>
  <c r="J102" i="42"/>
  <c r="J101" i="42"/>
  <c r="J100" i="42"/>
  <c r="J99" i="42"/>
  <c r="J98" i="42"/>
  <c r="J97" i="42"/>
  <c r="J96" i="42"/>
  <c r="J95" i="42"/>
  <c r="J94" i="42"/>
  <c r="J93" i="42"/>
  <c r="J92" i="42"/>
  <c r="J91" i="42"/>
  <c r="J90" i="42"/>
  <c r="J89" i="42"/>
  <c r="J88" i="42"/>
  <c r="J87" i="42"/>
  <c r="J86" i="42"/>
  <c r="J85" i="42"/>
  <c r="J84" i="42"/>
  <c r="J83" i="42"/>
  <c r="J82" i="42"/>
  <c r="J81" i="42"/>
  <c r="J80" i="42"/>
  <c r="J79" i="42"/>
  <c r="J78" i="42"/>
  <c r="J77" i="42"/>
  <c r="J76" i="42"/>
  <c r="J75" i="42"/>
  <c r="J74" i="42"/>
  <c r="J73" i="42"/>
  <c r="J72" i="42"/>
  <c r="J71" i="42"/>
  <c r="J70" i="42"/>
  <c r="J69" i="42"/>
  <c r="J68" i="42"/>
  <c r="J67" i="42"/>
  <c r="J66" i="42"/>
  <c r="J65" i="42"/>
  <c r="J64" i="42"/>
  <c r="J63" i="42"/>
  <c r="J62" i="42"/>
  <c r="J61" i="42"/>
  <c r="J60" i="42"/>
  <c r="J59" i="42"/>
  <c r="J58" i="42"/>
  <c r="J57" i="42"/>
  <c r="J56" i="42"/>
  <c r="J55" i="42"/>
  <c r="J54" i="42"/>
  <c r="J53" i="42"/>
  <c r="J52" i="42"/>
  <c r="J51" i="42"/>
  <c r="J50" i="42"/>
  <c r="J49" i="42"/>
  <c r="J48" i="42"/>
  <c r="J47" i="42"/>
  <c r="J46" i="42"/>
  <c r="J45" i="42"/>
  <c r="J44" i="42"/>
  <c r="J43" i="42"/>
  <c r="J42" i="42"/>
  <c r="J40" i="42"/>
  <c r="J39" i="42"/>
  <c r="J38" i="42"/>
  <c r="J36" i="42"/>
  <c r="J35" i="42"/>
  <c r="J34" i="42"/>
  <c r="J33" i="42"/>
  <c r="J32" i="42"/>
  <c r="J31" i="42"/>
  <c r="J30" i="42"/>
  <c r="J29" i="42"/>
  <c r="J28" i="42"/>
  <c r="J27" i="42"/>
  <c r="J26" i="42"/>
  <c r="J25" i="42"/>
  <c r="J24" i="42"/>
  <c r="J23" i="42"/>
  <c r="J22" i="42"/>
  <c r="J21" i="42"/>
  <c r="J20" i="42"/>
  <c r="J19" i="42"/>
  <c r="J18" i="42"/>
  <c r="J17" i="42"/>
  <c r="J16" i="42"/>
  <c r="J15" i="42"/>
  <c r="J14" i="42"/>
  <c r="J13" i="42"/>
  <c r="J12" i="42"/>
  <c r="J11" i="42"/>
  <c r="J10" i="42"/>
  <c r="J9" i="42"/>
  <c r="J8" i="42"/>
  <c r="J7" i="42"/>
  <c r="J6" i="42"/>
  <c r="J5" i="42"/>
  <c r="J4" i="42"/>
  <c r="J3" i="42"/>
  <c r="C14" i="23"/>
  <c r="H129" i="42"/>
  <c r="H128" i="42"/>
  <c r="L128" i="42" s="1"/>
  <c r="O128" i="42" s="1"/>
  <c r="H127" i="42"/>
  <c r="L127" i="42" s="1"/>
  <c r="O127" i="42" s="1"/>
  <c r="H126" i="42"/>
  <c r="L126" i="42" s="1"/>
  <c r="O126" i="42" s="1"/>
  <c r="H125" i="42"/>
  <c r="H124" i="42"/>
  <c r="L124" i="42" s="1"/>
  <c r="O124" i="42" s="1"/>
  <c r="H123" i="42"/>
  <c r="H122" i="42"/>
  <c r="L122" i="42" s="1"/>
  <c r="O122" i="42" s="1"/>
  <c r="H121" i="42"/>
  <c r="L121" i="42" s="1"/>
  <c r="O121" i="42" s="1"/>
  <c r="H120" i="42"/>
  <c r="L120" i="42" s="1"/>
  <c r="O120" i="42" s="1"/>
  <c r="H119" i="42"/>
  <c r="L119" i="42" s="1"/>
  <c r="O119" i="42" s="1"/>
  <c r="H118" i="42"/>
  <c r="L118" i="42" s="1"/>
  <c r="O118" i="42" s="1"/>
  <c r="H117" i="42"/>
  <c r="H116" i="42"/>
  <c r="H115" i="42"/>
  <c r="H114" i="42"/>
  <c r="L114" i="42" s="1"/>
  <c r="O114" i="42" s="1"/>
  <c r="H113" i="42"/>
  <c r="L113" i="42" s="1"/>
  <c r="O113" i="42" s="1"/>
  <c r="H112" i="42"/>
  <c r="L112" i="42" s="1"/>
  <c r="O112" i="42" s="1"/>
  <c r="H111" i="42"/>
  <c r="L111" i="42" s="1"/>
  <c r="O111" i="42" s="1"/>
  <c r="H110" i="42"/>
  <c r="L110" i="42" s="1"/>
  <c r="O110" i="42" s="1"/>
  <c r="H109" i="42"/>
  <c r="H108" i="42"/>
  <c r="L108" i="42" s="1"/>
  <c r="O108" i="42" s="1"/>
  <c r="H107" i="42"/>
  <c r="H106" i="42"/>
  <c r="L106" i="42" s="1"/>
  <c r="O106" i="42" s="1"/>
  <c r="H105" i="42"/>
  <c r="L105" i="42" s="1"/>
  <c r="O105" i="42" s="1"/>
  <c r="H104" i="42"/>
  <c r="L104" i="42" s="1"/>
  <c r="O104" i="42" s="1"/>
  <c r="H102" i="42"/>
  <c r="L102" i="42" s="1"/>
  <c r="O102" i="42" s="1"/>
  <c r="H101" i="42"/>
  <c r="H100" i="42"/>
  <c r="H99" i="42"/>
  <c r="H98" i="42"/>
  <c r="L98" i="42" s="1"/>
  <c r="O98" i="42" s="1"/>
  <c r="H97" i="42"/>
  <c r="L97" i="42" s="1"/>
  <c r="O97" i="42" s="1"/>
  <c r="H96" i="42"/>
  <c r="L96" i="42" s="1"/>
  <c r="O96" i="42" s="1"/>
  <c r="H95" i="42"/>
  <c r="L95" i="42" s="1"/>
  <c r="O95" i="42" s="1"/>
  <c r="H94" i="42"/>
  <c r="L94" i="42" s="1"/>
  <c r="O94" i="42" s="1"/>
  <c r="H93" i="42"/>
  <c r="H92" i="42"/>
  <c r="L92" i="42" s="1"/>
  <c r="O92" i="42" s="1"/>
  <c r="H91" i="42"/>
  <c r="H90" i="42"/>
  <c r="L90" i="42" s="1"/>
  <c r="O90" i="42" s="1"/>
  <c r="H89" i="42"/>
  <c r="L89" i="42" s="1"/>
  <c r="O89" i="42" s="1"/>
  <c r="H88" i="42"/>
  <c r="L88" i="42" s="1"/>
  <c r="O88" i="42" s="1"/>
  <c r="H87" i="42"/>
  <c r="L87" i="42" s="1"/>
  <c r="O87" i="42" s="1"/>
  <c r="H86" i="42"/>
  <c r="L86" i="42" s="1"/>
  <c r="O86" i="42" s="1"/>
  <c r="H85" i="42"/>
  <c r="L85" i="42" s="1"/>
  <c r="O85" i="42" s="1"/>
  <c r="H84" i="42"/>
  <c r="L84" i="42" s="1"/>
  <c r="O84" i="42" s="1"/>
  <c r="H83" i="42"/>
  <c r="H82" i="42"/>
  <c r="L82" i="42" s="1"/>
  <c r="O82" i="42" s="1"/>
  <c r="H81" i="42"/>
  <c r="L81" i="42" s="1"/>
  <c r="O81" i="42" s="1"/>
  <c r="H80" i="42"/>
  <c r="L80" i="42" s="1"/>
  <c r="O80" i="42" s="1"/>
  <c r="H79" i="42"/>
  <c r="L79" i="42" s="1"/>
  <c r="O79" i="42" s="1"/>
  <c r="H78" i="42"/>
  <c r="L78" i="42" s="1"/>
  <c r="O78" i="42" s="1"/>
  <c r="H77" i="42"/>
  <c r="L77" i="42" s="1"/>
  <c r="O77" i="42" s="1"/>
  <c r="H76" i="42"/>
  <c r="L76" i="42" s="1"/>
  <c r="O76" i="42" s="1"/>
  <c r="H75" i="42"/>
  <c r="H74" i="42"/>
  <c r="L74" i="42" s="1"/>
  <c r="O74" i="42" s="1"/>
  <c r="H73" i="42"/>
  <c r="L73" i="42" s="1"/>
  <c r="O73" i="42" s="1"/>
  <c r="H72" i="42"/>
  <c r="L72" i="42" s="1"/>
  <c r="O72" i="42" s="1"/>
  <c r="H71" i="42"/>
  <c r="L71" i="42" s="1"/>
  <c r="O71" i="42" s="1"/>
  <c r="H70" i="42"/>
  <c r="L70" i="42" s="1"/>
  <c r="O70" i="42" s="1"/>
  <c r="H69" i="42"/>
  <c r="L69" i="42" s="1"/>
  <c r="O69" i="42" s="1"/>
  <c r="H68" i="42"/>
  <c r="L68" i="42" s="1"/>
  <c r="O68" i="42" s="1"/>
  <c r="H67" i="42"/>
  <c r="H66" i="42"/>
  <c r="H65" i="42"/>
  <c r="L65" i="42" s="1"/>
  <c r="O65" i="42" s="1"/>
  <c r="H64" i="42"/>
  <c r="L64" i="42" s="1"/>
  <c r="O64" i="42" s="1"/>
  <c r="H63" i="42"/>
  <c r="L63" i="42" s="1"/>
  <c r="O63" i="42" s="1"/>
  <c r="H62" i="42"/>
  <c r="L62" i="42" s="1"/>
  <c r="O62" i="42" s="1"/>
  <c r="H61" i="42"/>
  <c r="L61" i="42" s="1"/>
  <c r="O61" i="42" s="1"/>
  <c r="H60" i="42"/>
  <c r="L60" i="42" s="1"/>
  <c r="O60" i="42" s="1"/>
  <c r="H59" i="42"/>
  <c r="H58" i="42"/>
  <c r="N58" i="42" s="1"/>
  <c r="H57" i="42"/>
  <c r="L57" i="42" s="1"/>
  <c r="O57" i="42" s="1"/>
  <c r="H56" i="42"/>
  <c r="L56" i="42" s="1"/>
  <c r="H55" i="42"/>
  <c r="L55" i="42" s="1"/>
  <c r="H54" i="42"/>
  <c r="L54" i="42" s="1"/>
  <c r="H53" i="42"/>
  <c r="L53" i="42" s="1"/>
  <c r="H52" i="42"/>
  <c r="L52" i="42" s="1"/>
  <c r="H51" i="42"/>
  <c r="H50" i="42"/>
  <c r="H49" i="42"/>
  <c r="L49" i="42" s="1"/>
  <c r="O49" i="42" s="1"/>
  <c r="H48" i="42"/>
  <c r="L48" i="42" s="1"/>
  <c r="H47" i="42"/>
  <c r="L47" i="42" s="1"/>
  <c r="O47" i="42" s="1"/>
  <c r="H46" i="42"/>
  <c r="L46" i="42" s="1"/>
  <c r="H45" i="42"/>
  <c r="L45" i="42" s="1"/>
  <c r="H44" i="42"/>
  <c r="L44" i="42" s="1"/>
  <c r="H43" i="42"/>
  <c r="H42" i="42"/>
  <c r="H40" i="42"/>
  <c r="L40" i="42" s="1"/>
  <c r="O40" i="42" s="1"/>
  <c r="H39" i="42"/>
  <c r="H38" i="42"/>
  <c r="L38" i="42" s="1"/>
  <c r="H36" i="42"/>
  <c r="L36" i="42" s="1"/>
  <c r="H35" i="42"/>
  <c r="H34" i="42"/>
  <c r="H33" i="42"/>
  <c r="L33" i="42" s="1"/>
  <c r="O33" i="42" s="1"/>
  <c r="H32" i="42"/>
  <c r="L32" i="42" s="1"/>
  <c r="H31" i="42"/>
  <c r="L31" i="42" s="1"/>
  <c r="H30" i="42"/>
  <c r="L30" i="42" s="1"/>
  <c r="H29" i="42"/>
  <c r="L29" i="42" s="1"/>
  <c r="H28" i="42"/>
  <c r="L28" i="42" s="1"/>
  <c r="H27" i="42"/>
  <c r="H26" i="42"/>
  <c r="H25" i="42"/>
  <c r="L25" i="42" s="1"/>
  <c r="O25" i="42" s="1"/>
  <c r="H24" i="42"/>
  <c r="L24" i="42" s="1"/>
  <c r="H23" i="42"/>
  <c r="H22" i="42"/>
  <c r="L22" i="42" s="1"/>
  <c r="H21" i="42"/>
  <c r="L21" i="42" s="1"/>
  <c r="H20" i="42"/>
  <c r="L20" i="42" s="1"/>
  <c r="H19" i="42"/>
  <c r="H18" i="42"/>
  <c r="H17" i="42"/>
  <c r="L17" i="42" s="1"/>
  <c r="H16" i="42"/>
  <c r="L16" i="42" s="1"/>
  <c r="H15" i="42"/>
  <c r="H14" i="42"/>
  <c r="L14" i="42" s="1"/>
  <c r="H13" i="42"/>
  <c r="L13" i="42" s="1"/>
  <c r="H12" i="42"/>
  <c r="L12" i="42" s="1"/>
  <c r="H11" i="42"/>
  <c r="H10" i="42"/>
  <c r="N10" i="42" s="1"/>
  <c r="H9" i="42"/>
  <c r="N9" i="42" s="1"/>
  <c r="H8" i="42"/>
  <c r="L8" i="42" s="1"/>
  <c r="H7" i="42"/>
  <c r="H6" i="42"/>
  <c r="L6" i="42" s="1"/>
  <c r="H5" i="42"/>
  <c r="L5" i="42" s="1"/>
  <c r="H4" i="42"/>
  <c r="L4" i="42" s="1"/>
  <c r="H3" i="42"/>
  <c r="C13" i="23"/>
  <c r="I2" i="42" l="1"/>
  <c r="J2" i="42"/>
  <c r="M50" i="42"/>
  <c r="M109" i="42"/>
  <c r="M125" i="42"/>
  <c r="L116" i="42"/>
  <c r="O116" i="42" s="1"/>
  <c r="M116" i="42"/>
  <c r="K2" i="42"/>
  <c r="H2" i="42"/>
  <c r="L2" i="42" s="1"/>
  <c r="M40" i="42"/>
  <c r="M49" i="42"/>
  <c r="M57" i="42"/>
  <c r="M105" i="42"/>
  <c r="M113" i="42"/>
  <c r="N13" i="42"/>
  <c r="N24" i="42"/>
  <c r="N35" i="42"/>
  <c r="N48" i="42"/>
  <c r="N59" i="42"/>
  <c r="N69" i="42"/>
  <c r="N80" i="42"/>
  <c r="N91" i="42"/>
  <c r="N101" i="42"/>
  <c r="N112" i="42"/>
  <c r="N123" i="42"/>
  <c r="N14" i="42"/>
  <c r="N74" i="42"/>
  <c r="N106" i="42"/>
  <c r="M32" i="42"/>
  <c r="M106" i="42"/>
  <c r="M114" i="42"/>
  <c r="N3" i="42"/>
  <c r="N15" i="42"/>
  <c r="N25" i="42"/>
  <c r="N36" i="42"/>
  <c r="N49" i="42"/>
  <c r="N60" i="42"/>
  <c r="N71" i="42"/>
  <c r="N81" i="42"/>
  <c r="N92" i="42"/>
  <c r="N113" i="42"/>
  <c r="N124" i="42"/>
  <c r="N18" i="42"/>
  <c r="N42" i="42"/>
  <c r="N78" i="42"/>
  <c r="N110" i="42"/>
  <c r="L129" i="42"/>
  <c r="O129" i="42" s="1"/>
  <c r="N129" i="42"/>
  <c r="M25" i="42"/>
  <c r="M33" i="42"/>
  <c r="M107" i="42"/>
  <c r="M115" i="42"/>
  <c r="N4" i="42"/>
  <c r="N16" i="42"/>
  <c r="N27" i="42"/>
  <c r="N39" i="42"/>
  <c r="N51" i="42"/>
  <c r="N61" i="42"/>
  <c r="N72" i="42"/>
  <c r="N83" i="42"/>
  <c r="N93" i="42"/>
  <c r="N104" i="42"/>
  <c r="N115" i="42"/>
  <c r="N125" i="42"/>
  <c r="N22" i="42"/>
  <c r="N46" i="42"/>
  <c r="N82" i="42"/>
  <c r="N114" i="42"/>
  <c r="M100" i="42"/>
  <c r="N5" i="42"/>
  <c r="N17" i="42"/>
  <c r="N28" i="42"/>
  <c r="N40" i="42"/>
  <c r="N52" i="42"/>
  <c r="N63" i="42"/>
  <c r="N73" i="42"/>
  <c r="N84" i="42"/>
  <c r="N95" i="42"/>
  <c r="N105" i="42"/>
  <c r="N116" i="42"/>
  <c r="N127" i="42"/>
  <c r="N26" i="42"/>
  <c r="N50" i="42"/>
  <c r="N86" i="42"/>
  <c r="N118" i="42"/>
  <c r="M53" i="42"/>
  <c r="M101" i="42"/>
  <c r="M117" i="42"/>
  <c r="N7" i="42"/>
  <c r="N19" i="42"/>
  <c r="N29" i="42"/>
  <c r="N43" i="42"/>
  <c r="N53" i="42"/>
  <c r="N64" i="42"/>
  <c r="N75" i="42"/>
  <c r="N85" i="42"/>
  <c r="N96" i="42"/>
  <c r="N107" i="42"/>
  <c r="N117" i="42"/>
  <c r="N128" i="42"/>
  <c r="N30" i="42"/>
  <c r="N54" i="42"/>
  <c r="N90" i="42"/>
  <c r="N122" i="42"/>
  <c r="N8" i="42"/>
  <c r="N20" i="42"/>
  <c r="N31" i="42"/>
  <c r="N44" i="42"/>
  <c r="N55" i="42"/>
  <c r="N65" i="42"/>
  <c r="N76" i="42"/>
  <c r="N87" i="42"/>
  <c r="N97" i="42"/>
  <c r="N108" i="42"/>
  <c r="N119" i="42"/>
  <c r="N34" i="42"/>
  <c r="N62" i="42"/>
  <c r="N94" i="42"/>
  <c r="N126" i="42"/>
  <c r="M95" i="42"/>
  <c r="M119" i="42"/>
  <c r="N11" i="42"/>
  <c r="N21" i="42"/>
  <c r="N32" i="42"/>
  <c r="N45" i="42"/>
  <c r="N56" i="42"/>
  <c r="N67" i="42"/>
  <c r="N77" i="42"/>
  <c r="N88" i="42"/>
  <c r="N99" i="42"/>
  <c r="N109" i="42"/>
  <c r="N120" i="42"/>
  <c r="N66" i="42"/>
  <c r="N98" i="42"/>
  <c r="M39" i="42"/>
  <c r="M112" i="42"/>
  <c r="N12" i="42"/>
  <c r="N23" i="42"/>
  <c r="N33" i="42"/>
  <c r="N47" i="42"/>
  <c r="N57" i="42"/>
  <c r="N68" i="42"/>
  <c r="N79" i="42"/>
  <c r="N89" i="42"/>
  <c r="N100" i="42"/>
  <c r="N111" i="42"/>
  <c r="N121" i="42"/>
  <c r="N6" i="42"/>
  <c r="N38" i="42"/>
  <c r="N70" i="42"/>
  <c r="N102" i="42"/>
  <c r="A119" i="42"/>
  <c r="A41" i="42"/>
  <c r="A95" i="42"/>
  <c r="A112" i="42"/>
  <c r="A105" i="42"/>
  <c r="A113" i="42"/>
  <c r="A40" i="42"/>
  <c r="A57" i="42"/>
  <c r="A114" i="42"/>
  <c r="A25" i="42"/>
  <c r="A37" i="42"/>
  <c r="M12" i="42"/>
  <c r="M6" i="42"/>
  <c r="M7" i="42"/>
  <c r="M15" i="42"/>
  <c r="M23" i="42"/>
  <c r="M31" i="42"/>
  <c r="M65" i="42"/>
  <c r="M73" i="42"/>
  <c r="M81" i="42"/>
  <c r="M89" i="42"/>
  <c r="M97" i="42"/>
  <c r="M121" i="42"/>
  <c r="M129" i="42"/>
  <c r="M8" i="42"/>
  <c r="M16" i="42"/>
  <c r="M24" i="42"/>
  <c r="M42" i="42"/>
  <c r="M58" i="42"/>
  <c r="M66" i="42"/>
  <c r="M74" i="42"/>
  <c r="M82" i="42"/>
  <c r="M90" i="42"/>
  <c r="M98" i="42"/>
  <c r="M122" i="42"/>
  <c r="M4" i="42"/>
  <c r="M9" i="42"/>
  <c r="M17" i="42"/>
  <c r="M43" i="42"/>
  <c r="M51" i="42"/>
  <c r="M59" i="42"/>
  <c r="M67" i="42"/>
  <c r="M75" i="42"/>
  <c r="M83" i="42"/>
  <c r="M91" i="42"/>
  <c r="M99" i="42"/>
  <c r="M123" i="42"/>
  <c r="M20" i="42"/>
  <c r="M10" i="42"/>
  <c r="M18" i="42"/>
  <c r="M26" i="42"/>
  <c r="M34" i="42"/>
  <c r="M44" i="42"/>
  <c r="O44" i="42" s="1"/>
  <c r="M52" i="42"/>
  <c r="M60" i="42"/>
  <c r="M68" i="42"/>
  <c r="M76" i="42"/>
  <c r="M84" i="42"/>
  <c r="M92" i="42"/>
  <c r="M108" i="42"/>
  <c r="M124" i="42"/>
  <c r="M3" i="42"/>
  <c r="M11" i="42"/>
  <c r="M19" i="42"/>
  <c r="M27" i="42"/>
  <c r="M35" i="42"/>
  <c r="M45" i="42"/>
  <c r="M61" i="42"/>
  <c r="M69" i="42"/>
  <c r="M77" i="42"/>
  <c r="M85" i="42"/>
  <c r="M93" i="42"/>
  <c r="M36" i="42"/>
  <c r="M46" i="42"/>
  <c r="M54" i="42"/>
  <c r="M62" i="42"/>
  <c r="M70" i="42"/>
  <c r="M78" i="42"/>
  <c r="M86" i="42"/>
  <c r="M94" i="42"/>
  <c r="M102" i="42"/>
  <c r="M110" i="42"/>
  <c r="M118" i="42"/>
  <c r="M126" i="42"/>
  <c r="M5" i="42"/>
  <c r="M13" i="42"/>
  <c r="M21" i="42"/>
  <c r="M29" i="42"/>
  <c r="M38" i="42"/>
  <c r="M47" i="42"/>
  <c r="M55" i="42"/>
  <c r="M63" i="42"/>
  <c r="M71" i="42"/>
  <c r="M79" i="42"/>
  <c r="M87" i="42"/>
  <c r="M103" i="42"/>
  <c r="M111" i="42"/>
  <c r="M127" i="42"/>
  <c r="M28" i="42"/>
  <c r="M14" i="42"/>
  <c r="M22" i="42"/>
  <c r="M30" i="42"/>
  <c r="M48" i="42"/>
  <c r="M56" i="42"/>
  <c r="M64" i="42"/>
  <c r="M72" i="42"/>
  <c r="M80" i="42"/>
  <c r="M88" i="42"/>
  <c r="M96" i="42"/>
  <c r="M104" i="42"/>
  <c r="M120" i="42"/>
  <c r="M128" i="42"/>
  <c r="K37" i="42"/>
  <c r="N37" i="42" s="1"/>
  <c r="J37" i="42"/>
  <c r="M37" i="42" s="1"/>
  <c r="K41" i="42"/>
  <c r="N41" i="42" s="1"/>
  <c r="J41" i="42"/>
  <c r="M41" i="42" s="1"/>
  <c r="L9" i="42"/>
  <c r="L51" i="42"/>
  <c r="L43" i="42"/>
  <c r="L59" i="42"/>
  <c r="O59" i="42" s="1"/>
  <c r="L3" i="42"/>
  <c r="L67" i="42"/>
  <c r="O67" i="42" s="1"/>
  <c r="L11" i="42"/>
  <c r="L19" i="42"/>
  <c r="L27" i="42"/>
  <c r="O27" i="42" s="1"/>
  <c r="L35" i="42"/>
  <c r="L100" i="42"/>
  <c r="O100" i="42" s="1"/>
  <c r="L117" i="42"/>
  <c r="O117" i="42" s="1"/>
  <c r="L109" i="42"/>
  <c r="O109" i="42" s="1"/>
  <c r="L125" i="42"/>
  <c r="O125" i="42" s="1"/>
  <c r="L101" i="42"/>
  <c r="O101" i="42" s="1"/>
  <c r="L7" i="42"/>
  <c r="L23" i="42"/>
  <c r="L39" i="42"/>
  <c r="L15" i="42"/>
  <c r="L93" i="42"/>
  <c r="O93" i="42" s="1"/>
  <c r="L10" i="42"/>
  <c r="L18" i="42"/>
  <c r="L26" i="42"/>
  <c r="L34" i="42"/>
  <c r="L42" i="42"/>
  <c r="L50" i="42"/>
  <c r="L58" i="42"/>
  <c r="O58" i="42" s="1"/>
  <c r="L66" i="42"/>
  <c r="O66" i="42" s="1"/>
  <c r="L75" i="42"/>
  <c r="O75" i="42" s="1"/>
  <c r="L83" i="42"/>
  <c r="O83" i="42" s="1"/>
  <c r="L91" i="42"/>
  <c r="O91" i="42" s="1"/>
  <c r="L99" i="42"/>
  <c r="O99" i="42" s="1"/>
  <c r="L107" i="42"/>
  <c r="O107" i="42" s="1"/>
  <c r="L115" i="42"/>
  <c r="O115" i="42" s="1"/>
  <c r="L123" i="42"/>
  <c r="O123" i="42" s="1"/>
  <c r="O32" i="42" l="1"/>
  <c r="O16" i="42"/>
  <c r="O39" i="42"/>
  <c r="O13" i="42"/>
  <c r="O35" i="42"/>
  <c r="O22" i="42"/>
  <c r="O38" i="42"/>
  <c r="O54" i="42"/>
  <c r="O24" i="42"/>
  <c r="O46" i="42"/>
  <c r="O48" i="42"/>
  <c r="O19" i="42"/>
  <c r="O56" i="42"/>
  <c r="O8" i="42"/>
  <c r="O23" i="42"/>
  <c r="O55" i="42"/>
  <c r="O14" i="42"/>
  <c r="O11" i="42"/>
  <c r="O52" i="42"/>
  <c r="O9" i="42"/>
  <c r="O6" i="42"/>
  <c r="O4" i="42"/>
  <c r="O12" i="42"/>
  <c r="O45" i="42"/>
  <c r="O30" i="42"/>
  <c r="O29" i="42"/>
  <c r="O15" i="42"/>
  <c r="O10" i="42"/>
  <c r="O31" i="42"/>
  <c r="O7" i="42"/>
  <c r="O18" i="42"/>
  <c r="O17" i="42"/>
  <c r="O5" i="42"/>
  <c r="O36" i="42"/>
  <c r="O20" i="42"/>
  <c r="O43" i="42"/>
  <c r="O50" i="42"/>
  <c r="O51" i="42"/>
  <c r="O28" i="42"/>
  <c r="O42" i="42"/>
  <c r="O34" i="42"/>
  <c r="O21" i="42"/>
  <c r="O53" i="42"/>
  <c r="O26" i="42"/>
  <c r="O3" i="42"/>
  <c r="A127" i="42"/>
  <c r="N2" i="42"/>
  <c r="A101" i="42"/>
  <c r="A117" i="42"/>
  <c r="A115" i="42"/>
  <c r="A100" i="42"/>
  <c r="A107" i="42"/>
  <c r="M2" i="42"/>
  <c r="O2" i="42" l="1"/>
  <c r="A39" i="42" s="1"/>
  <c r="A124" i="42"/>
  <c r="A120" i="42"/>
  <c r="A125" i="42"/>
  <c r="A126" i="42"/>
  <c r="A129" i="42"/>
  <c r="A123" i="42"/>
  <c r="A118" i="42"/>
  <c r="A128" i="42"/>
  <c r="A116" i="42"/>
  <c r="A122" i="42"/>
  <c r="A121" i="42"/>
  <c r="A60" i="42"/>
  <c r="A85" i="42"/>
  <c r="A82" i="42"/>
  <c r="A80" i="42" l="1"/>
  <c r="A53" i="42"/>
  <c r="A77" i="42"/>
  <c r="A86" i="42"/>
  <c r="A92" i="42"/>
  <c r="A87" i="42"/>
  <c r="A66" i="42"/>
  <c r="A93" i="42"/>
  <c r="A89" i="42"/>
  <c r="A78" i="42"/>
  <c r="A69" i="42"/>
  <c r="A68" i="42"/>
  <c r="A63" i="42"/>
  <c r="A88" i="42"/>
  <c r="A83" i="42"/>
  <c r="A91" i="42"/>
  <c r="A71" i="42"/>
  <c r="A67" i="42"/>
  <c r="A70" i="42"/>
  <c r="A73" i="42"/>
  <c r="A81" i="42"/>
  <c r="A61" i="42"/>
  <c r="A72" i="42"/>
  <c r="A90" i="42"/>
  <c r="A62" i="42"/>
  <c r="A75" i="42"/>
  <c r="A74" i="42"/>
  <c r="A76" i="42"/>
  <c r="A79" i="42"/>
  <c r="A58" i="42"/>
  <c r="A65" i="42"/>
  <c r="A84" i="42"/>
  <c r="A59" i="42"/>
  <c r="A64" i="42"/>
  <c r="A33" i="42"/>
  <c r="A49" i="42"/>
  <c r="A32" i="42"/>
  <c r="A103" i="42"/>
  <c r="A2" i="42"/>
  <c r="A47" i="42"/>
  <c r="A29" i="42"/>
  <c r="A8" i="42"/>
  <c r="A50" i="42"/>
  <c r="A106" i="42"/>
  <c r="A56" i="42"/>
  <c r="A99" i="42"/>
  <c r="A46" i="42"/>
  <c r="A52" i="42"/>
  <c r="A30" i="42"/>
  <c r="A9" i="42"/>
  <c r="A18" i="42"/>
  <c r="A19" i="42"/>
  <c r="A24" i="42"/>
  <c r="A34" i="42"/>
  <c r="A36" i="42"/>
  <c r="A45" i="42"/>
  <c r="A27" i="42"/>
  <c r="A48" i="42"/>
  <c r="A5" i="42"/>
  <c r="A110" i="42"/>
  <c r="A111" i="42"/>
  <c r="A13" i="42"/>
  <c r="A11" i="42"/>
  <c r="A7" i="42"/>
  <c r="A104" i="42"/>
  <c r="A3" i="42"/>
  <c r="A12" i="42"/>
  <c r="A17" i="42"/>
  <c r="A38" i="42"/>
  <c r="A54" i="42"/>
  <c r="A28" i="42"/>
  <c r="A96" i="42"/>
  <c r="A22" i="42"/>
  <c r="A55" i="42"/>
  <c r="A21" i="42"/>
  <c r="A98" i="42"/>
  <c r="A16" i="42"/>
  <c r="A26" i="42"/>
  <c r="K3" i="44"/>
  <c r="A20" i="42"/>
  <c r="A43" i="42"/>
  <c r="A44" i="42"/>
  <c r="A31" i="42"/>
  <c r="A42" i="42"/>
  <c r="A102" i="42"/>
  <c r="A15" i="42"/>
  <c r="A23" i="42"/>
  <c r="A108" i="42"/>
  <c r="A10" i="42"/>
  <c r="A51" i="42"/>
  <c r="A4" i="42"/>
  <c r="A35" i="42"/>
  <c r="A6" i="42"/>
  <c r="A109" i="42"/>
  <c r="A94" i="42"/>
  <c r="A97" i="42"/>
  <c r="A14" i="42"/>
  <c r="D23" i="40"/>
  <c r="D30" i="40" s="1"/>
  <c r="Q40" i="23"/>
  <c r="Q48" i="23" s="1"/>
  <c r="J3" i="44" l="1"/>
  <c r="B129" i="42"/>
  <c r="B128" i="42"/>
  <c r="B127" i="42"/>
  <c r="B126" i="42"/>
  <c r="B124" i="42"/>
  <c r="B123" i="42"/>
  <c r="B122" i="42"/>
  <c r="B121" i="42"/>
  <c r="B120" i="42"/>
  <c r="B119" i="42"/>
  <c r="B118" i="42"/>
  <c r="B117" i="42"/>
  <c r="B116" i="42"/>
  <c r="B115" i="42"/>
  <c r="B114" i="42"/>
  <c r="B113" i="42"/>
  <c r="B112" i="42"/>
  <c r="B111" i="42"/>
  <c r="B110" i="42"/>
  <c r="B109" i="42"/>
  <c r="B108" i="42"/>
  <c r="B107" i="42"/>
  <c r="B106" i="42"/>
  <c r="B105" i="42"/>
  <c r="B104" i="42"/>
  <c r="B103" i="42"/>
  <c r="B102" i="42"/>
  <c r="B101" i="42"/>
  <c r="B100" i="42"/>
  <c r="B99" i="42"/>
  <c r="B98" i="42"/>
  <c r="B97" i="42"/>
  <c r="B96" i="42"/>
  <c r="B95" i="42"/>
  <c r="B94" i="42"/>
  <c r="B93" i="42"/>
  <c r="B92" i="42"/>
  <c r="B91" i="42"/>
  <c r="B90" i="42"/>
  <c r="B89" i="42"/>
  <c r="B88" i="42"/>
  <c r="B87" i="42"/>
  <c r="B86" i="42"/>
  <c r="B85" i="42"/>
  <c r="B84" i="42"/>
  <c r="B83" i="42"/>
  <c r="B82" i="42"/>
  <c r="B81" i="42"/>
  <c r="B80" i="42"/>
  <c r="B79" i="42"/>
  <c r="B78" i="42"/>
  <c r="B77" i="42"/>
  <c r="B76" i="42"/>
  <c r="B75" i="42"/>
  <c r="B74" i="42"/>
  <c r="B73" i="42"/>
  <c r="B72" i="42"/>
  <c r="B71" i="42"/>
  <c r="B70" i="42"/>
  <c r="B69" i="42"/>
  <c r="B68" i="42"/>
  <c r="B67" i="42"/>
  <c r="B66" i="42"/>
  <c r="B65" i="42"/>
  <c r="B64" i="42"/>
  <c r="B63" i="42"/>
  <c r="B62" i="42"/>
  <c r="B61" i="42"/>
  <c r="B60" i="42"/>
  <c r="B59" i="42"/>
  <c r="B58" i="42"/>
  <c r="B57" i="42"/>
  <c r="B56" i="42"/>
  <c r="B55" i="42"/>
  <c r="B54" i="42"/>
  <c r="B53" i="42"/>
  <c r="B52" i="42"/>
  <c r="B51" i="42"/>
  <c r="B50" i="42"/>
  <c r="B49" i="42"/>
  <c r="B48" i="42"/>
  <c r="B47" i="42"/>
  <c r="B46" i="42"/>
  <c r="B45" i="42"/>
  <c r="B44" i="42"/>
  <c r="B43" i="42"/>
  <c r="B42" i="42"/>
  <c r="B41" i="42"/>
  <c r="B40" i="42"/>
  <c r="B39" i="42"/>
  <c r="B38" i="42"/>
  <c r="B36" i="42"/>
  <c r="B35" i="42"/>
  <c r="B34" i="42"/>
  <c r="B33" i="42"/>
  <c r="B32" i="42"/>
  <c r="B31" i="42"/>
  <c r="B30" i="42"/>
  <c r="B29" i="42"/>
  <c r="B28" i="42"/>
  <c r="B27" i="42"/>
  <c r="B26" i="42"/>
  <c r="B25" i="42"/>
  <c r="B24" i="42"/>
  <c r="B23" i="42"/>
  <c r="B22" i="42"/>
  <c r="B21" i="42"/>
  <c r="B20" i="42"/>
  <c r="B19" i="42"/>
  <c r="B18" i="42"/>
  <c r="B17" i="42"/>
  <c r="B16" i="42"/>
  <c r="B15" i="42"/>
  <c r="B14" i="42"/>
  <c r="B13" i="42"/>
  <c r="B12" i="42"/>
  <c r="B11" i="42"/>
  <c r="B10" i="42"/>
  <c r="B9" i="42"/>
  <c r="B8" i="42"/>
  <c r="B7" i="42"/>
  <c r="B6" i="42"/>
  <c r="B5" i="42"/>
  <c r="B4" i="42"/>
  <c r="B2" i="42"/>
  <c r="B44" i="40"/>
  <c r="H38" i="40"/>
  <c r="G38" i="40"/>
  <c r="F38" i="40"/>
  <c r="E38" i="40"/>
  <c r="D38" i="40"/>
  <c r="C38" i="40"/>
  <c r="B29" i="40"/>
  <c r="H23" i="40"/>
  <c r="G23" i="40"/>
  <c r="F23" i="40"/>
  <c r="E23" i="40"/>
  <c r="C23" i="40"/>
  <c r="D16" i="40"/>
  <c r="B14" i="40"/>
  <c r="H8" i="40"/>
  <c r="G8" i="40"/>
  <c r="F8" i="40"/>
  <c r="E8" i="40"/>
  <c r="D8" i="40"/>
  <c r="C8" i="40"/>
  <c r="B29" i="38"/>
  <c r="B59" i="38"/>
  <c r="N53" i="38"/>
  <c r="N60" i="38" s="1"/>
  <c r="M53" i="38"/>
  <c r="M60" i="38" s="1"/>
  <c r="L53" i="38"/>
  <c r="K53" i="38"/>
  <c r="K60" i="38" s="1"/>
  <c r="J53" i="38"/>
  <c r="J60" i="38" s="1"/>
  <c r="I53" i="38"/>
  <c r="I60" i="38" s="1"/>
  <c r="H53" i="38"/>
  <c r="H60" i="38" s="1"/>
  <c r="G53" i="38"/>
  <c r="G60" i="38" s="1"/>
  <c r="F53" i="38"/>
  <c r="F60" i="38" s="1"/>
  <c r="E53" i="38"/>
  <c r="E60" i="38" s="1"/>
  <c r="D53" i="38"/>
  <c r="D60" i="38" s="1"/>
  <c r="C53" i="38"/>
  <c r="C60" i="38" s="1"/>
  <c r="B44" i="38"/>
  <c r="N38" i="38"/>
  <c r="N45" i="38" s="1"/>
  <c r="M38" i="38"/>
  <c r="M45" i="38" s="1"/>
  <c r="L38" i="38"/>
  <c r="L45" i="38" s="1"/>
  <c r="K38" i="38"/>
  <c r="K45" i="38" s="1"/>
  <c r="J38" i="38"/>
  <c r="J45" i="38" s="1"/>
  <c r="I38" i="38"/>
  <c r="I45" i="38" s="1"/>
  <c r="H38" i="38"/>
  <c r="H45" i="38" s="1"/>
  <c r="G38" i="38"/>
  <c r="G45" i="38" s="1"/>
  <c r="F38" i="38"/>
  <c r="F45" i="38" s="1"/>
  <c r="E38" i="38"/>
  <c r="E45" i="38" s="1"/>
  <c r="D38" i="38"/>
  <c r="D45" i="38" s="1"/>
  <c r="C38" i="38"/>
  <c r="C45" i="38" s="1"/>
  <c r="J23" i="38"/>
  <c r="I23" i="38"/>
  <c r="I30" i="38" s="1"/>
  <c r="H23" i="38"/>
  <c r="H30" i="38" s="1"/>
  <c r="G23" i="38"/>
  <c r="G30" i="38" s="1"/>
  <c r="F23" i="38"/>
  <c r="F30" i="38" s="1"/>
  <c r="E23" i="38"/>
  <c r="E30" i="38" s="1"/>
  <c r="D23" i="38"/>
  <c r="D30" i="38" s="1"/>
  <c r="C23" i="38"/>
  <c r="C30" i="38" s="1"/>
  <c r="B14" i="38"/>
  <c r="F8" i="38"/>
  <c r="F15" i="38" s="1"/>
  <c r="E8" i="38"/>
  <c r="E15" i="38" s="1"/>
  <c r="D8" i="38"/>
  <c r="D15" i="38" s="1"/>
  <c r="H43" i="40" l="1"/>
  <c r="H45" i="40"/>
  <c r="L58" i="38"/>
  <c r="L60" i="38"/>
  <c r="C40" i="40"/>
  <c r="C45" i="40"/>
  <c r="D41" i="40"/>
  <c r="D46" i="40" s="1"/>
  <c r="D45" i="40"/>
  <c r="E41" i="40"/>
  <c r="E46" i="40" s="1"/>
  <c r="E45" i="40"/>
  <c r="F42" i="40"/>
  <c r="F45" i="40"/>
  <c r="G43" i="40"/>
  <c r="G45" i="40"/>
  <c r="E27" i="40"/>
  <c r="E30" i="40"/>
  <c r="C26" i="40"/>
  <c r="C31" i="40" s="1"/>
  <c r="C30" i="40"/>
  <c r="G28" i="40"/>
  <c r="G30" i="40"/>
  <c r="H28" i="40"/>
  <c r="H30" i="40"/>
  <c r="F28" i="40"/>
  <c r="F30" i="40"/>
  <c r="E15" i="40"/>
  <c r="F15" i="40"/>
  <c r="G13" i="40"/>
  <c r="G15" i="40"/>
  <c r="H15" i="40"/>
  <c r="C15" i="40"/>
  <c r="D15" i="40"/>
  <c r="J30" i="38"/>
  <c r="A44" i="44"/>
  <c r="J44" i="44" s="1"/>
  <c r="A31" i="44"/>
  <c r="H31" i="44" s="1"/>
  <c r="A19" i="44"/>
  <c r="H19" i="44" s="1"/>
  <c r="A7" i="44"/>
  <c r="H7" i="44" s="1"/>
  <c r="A55" i="44"/>
  <c r="H55" i="44" s="1"/>
  <c r="A43" i="44"/>
  <c r="H43" i="44" s="1"/>
  <c r="A30" i="44"/>
  <c r="A18" i="44"/>
  <c r="G18" i="44" s="1"/>
  <c r="A6" i="44"/>
  <c r="G6" i="44" s="1"/>
  <c r="A54" i="44"/>
  <c r="A42" i="44"/>
  <c r="A29" i="44"/>
  <c r="J29" i="44" s="1"/>
  <c r="A17" i="44"/>
  <c r="H17" i="44" s="1"/>
  <c r="A40" i="44"/>
  <c r="C40" i="44" s="1"/>
  <c r="A53" i="44"/>
  <c r="H53" i="44" s="1"/>
  <c r="A41" i="44"/>
  <c r="H41" i="44" s="1"/>
  <c r="A28" i="44"/>
  <c r="H28" i="44" s="1"/>
  <c r="A16" i="44"/>
  <c r="H16" i="44" s="1"/>
  <c r="A52" i="44"/>
  <c r="J52" i="44" s="1"/>
  <c r="A39" i="44"/>
  <c r="H39" i="44" s="1"/>
  <c r="A27" i="44"/>
  <c r="H27" i="44" s="1"/>
  <c r="A15" i="44"/>
  <c r="A51" i="44"/>
  <c r="A38" i="44"/>
  <c r="A26" i="44"/>
  <c r="A14" i="44"/>
  <c r="H14" i="44" s="1"/>
  <c r="A50" i="44"/>
  <c r="H50" i="44" s="1"/>
  <c r="A37" i="44"/>
  <c r="H37" i="44" s="1"/>
  <c r="A25" i="44"/>
  <c r="H25" i="44" s="1"/>
  <c r="A13" i="44"/>
  <c r="H13" i="44" s="1"/>
  <c r="A49" i="44"/>
  <c r="A36" i="44"/>
  <c r="A24" i="44"/>
  <c r="F24" i="44" s="1"/>
  <c r="A12" i="44"/>
  <c r="A48" i="44"/>
  <c r="A35" i="44"/>
  <c r="A23" i="44"/>
  <c r="G23" i="44" s="1"/>
  <c r="A11" i="44"/>
  <c r="H11" i="44" s="1"/>
  <c r="A47" i="44"/>
  <c r="H47" i="44" s="1"/>
  <c r="A34" i="44"/>
  <c r="H34" i="44" s="1"/>
  <c r="A22" i="44"/>
  <c r="A10" i="44"/>
  <c r="A46" i="44"/>
  <c r="A33" i="44"/>
  <c r="A21" i="44"/>
  <c r="A9" i="44"/>
  <c r="A45" i="44"/>
  <c r="A32" i="44"/>
  <c r="G32" i="44" s="1"/>
  <c r="A20" i="44"/>
  <c r="A8" i="44"/>
  <c r="H8" i="44" s="1"/>
  <c r="D12" i="40"/>
  <c r="F13" i="40"/>
  <c r="H14" i="40"/>
  <c r="H17" i="40" s="1"/>
  <c r="E11" i="38"/>
  <c r="E16" i="38" s="1"/>
  <c r="H25" i="38"/>
  <c r="K58" i="38"/>
  <c r="E58" i="38"/>
  <c r="M58" i="38"/>
  <c r="D13" i="38"/>
  <c r="I43" i="38"/>
  <c r="J43" i="38"/>
  <c r="C43" i="38"/>
  <c r="F58" i="38"/>
  <c r="N58" i="38"/>
  <c r="D43" i="38"/>
  <c r="G58" i="38"/>
  <c r="F11" i="38"/>
  <c r="F16" i="38" s="1"/>
  <c r="D58" i="38"/>
  <c r="E28" i="38"/>
  <c r="G28" i="38"/>
  <c r="I28" i="38"/>
  <c r="F28" i="38"/>
  <c r="K43" i="38"/>
  <c r="L43" i="38"/>
  <c r="L44" i="38"/>
  <c r="C25" i="40"/>
  <c r="G41" i="40"/>
  <c r="G46" i="40" s="1"/>
  <c r="E13" i="40"/>
  <c r="D14" i="40"/>
  <c r="F10" i="40"/>
  <c r="F12" i="40"/>
  <c r="G12" i="40"/>
  <c r="C10" i="40"/>
  <c r="F14" i="40"/>
  <c r="F17" i="40" s="1"/>
  <c r="D25" i="40"/>
  <c r="E10" i="40"/>
  <c r="F27" i="40"/>
  <c r="J40" i="38"/>
  <c r="E12" i="40"/>
  <c r="G42" i="40"/>
  <c r="G27" i="40"/>
  <c r="C11" i="40"/>
  <c r="C16" i="40" s="1"/>
  <c r="H42" i="40"/>
  <c r="H27" i="40"/>
  <c r="D11" i="40"/>
  <c r="F25" i="40"/>
  <c r="C29" i="40"/>
  <c r="E11" i="40"/>
  <c r="E16" i="40" s="1"/>
  <c r="D26" i="40"/>
  <c r="D31" i="40" s="1"/>
  <c r="E29" i="40"/>
  <c r="D40" i="40"/>
  <c r="C44" i="40"/>
  <c r="E26" i="40"/>
  <c r="E31" i="40" s="1"/>
  <c r="E40" i="40"/>
  <c r="D44" i="40"/>
  <c r="F26" i="40"/>
  <c r="F31" i="40" s="1"/>
  <c r="G40" i="40"/>
  <c r="F44" i="40"/>
  <c r="F41" i="40"/>
  <c r="F46" i="40" s="1"/>
  <c r="H13" i="40"/>
  <c r="C43" i="40"/>
  <c r="D10" i="40"/>
  <c r="F11" i="40"/>
  <c r="F16" i="40" s="1"/>
  <c r="H12" i="40"/>
  <c r="C14" i="40"/>
  <c r="C17" i="40" s="1"/>
  <c r="E25" i="40"/>
  <c r="G26" i="40"/>
  <c r="G31" i="40" s="1"/>
  <c r="C28" i="40"/>
  <c r="D29" i="40"/>
  <c r="D32" i="40" s="1"/>
  <c r="F40" i="40"/>
  <c r="H41" i="40"/>
  <c r="H46" i="40" s="1"/>
  <c r="D43" i="40"/>
  <c r="E44" i="40"/>
  <c r="C13" i="40"/>
  <c r="C42" i="40"/>
  <c r="E43" i="40"/>
  <c r="H11" i="40"/>
  <c r="H16" i="40" s="1"/>
  <c r="D13" i="40"/>
  <c r="E14" i="40"/>
  <c r="E17" i="40" s="1"/>
  <c r="G25" i="40"/>
  <c r="C27" i="40"/>
  <c r="E28" i="40"/>
  <c r="F29" i="40"/>
  <c r="H40" i="40"/>
  <c r="D42" i="40"/>
  <c r="F43" i="40"/>
  <c r="G44" i="40"/>
  <c r="H26" i="40"/>
  <c r="H31" i="40" s="1"/>
  <c r="D28" i="40"/>
  <c r="G10" i="40"/>
  <c r="C12" i="40"/>
  <c r="H25" i="40"/>
  <c r="D27" i="40"/>
  <c r="G29" i="40"/>
  <c r="C41" i="40"/>
  <c r="C46" i="40" s="1"/>
  <c r="E42" i="40"/>
  <c r="H44" i="40"/>
  <c r="G11" i="40"/>
  <c r="G16" i="40" s="1"/>
  <c r="H10" i="40"/>
  <c r="G14" i="40"/>
  <c r="H29" i="40"/>
  <c r="E13" i="38"/>
  <c r="L40" i="38"/>
  <c r="D42" i="38"/>
  <c r="F55" i="38"/>
  <c r="L42" i="38"/>
  <c r="M55" i="38"/>
  <c r="N57" i="38"/>
  <c r="D11" i="38"/>
  <c r="D16" i="38" s="1"/>
  <c r="I44" i="38"/>
  <c r="D59" i="38"/>
  <c r="D40" i="38"/>
  <c r="C42" i="38"/>
  <c r="J44" i="38"/>
  <c r="G55" i="38"/>
  <c r="K44" i="38"/>
  <c r="J42" i="38"/>
  <c r="N55" i="38"/>
  <c r="E59" i="38"/>
  <c r="H26" i="38"/>
  <c r="H31" i="38" s="1"/>
  <c r="C40" i="38"/>
  <c r="K42" i="38"/>
  <c r="E57" i="38"/>
  <c r="F59" i="38"/>
  <c r="I26" i="38"/>
  <c r="I31" i="38" s="1"/>
  <c r="F57" i="38"/>
  <c r="L59" i="38"/>
  <c r="G57" i="38"/>
  <c r="M59" i="38"/>
  <c r="F29" i="38"/>
  <c r="K40" i="38"/>
  <c r="C44" i="38"/>
  <c r="E55" i="38"/>
  <c r="M57" i="38"/>
  <c r="N59" i="38"/>
  <c r="F12" i="38"/>
  <c r="F10" i="38"/>
  <c r="F14" i="38"/>
  <c r="I25" i="38"/>
  <c r="H28" i="38"/>
  <c r="K56" i="38"/>
  <c r="K61" i="38" s="1"/>
  <c r="H42" i="38"/>
  <c r="H40" i="38"/>
  <c r="H44" i="38"/>
  <c r="G26" i="38"/>
  <c r="G31" i="38" s="1"/>
  <c r="G44" i="38"/>
  <c r="G42" i="38"/>
  <c r="G40" i="38"/>
  <c r="I29" i="38"/>
  <c r="G27" i="38"/>
  <c r="G29" i="38"/>
  <c r="J59" i="38"/>
  <c r="J57" i="38"/>
  <c r="J55" i="38"/>
  <c r="H27" i="38"/>
  <c r="H29" i="38"/>
  <c r="G43" i="38"/>
  <c r="C57" i="38"/>
  <c r="C55" i="38"/>
  <c r="C59" i="38"/>
  <c r="K57" i="38"/>
  <c r="K55" i="38"/>
  <c r="K59" i="38"/>
  <c r="D14" i="38"/>
  <c r="D12" i="38"/>
  <c r="D10" i="38"/>
  <c r="F13" i="38"/>
  <c r="G25" i="38"/>
  <c r="I27" i="38"/>
  <c r="G41" i="38"/>
  <c r="G46" i="38" s="1"/>
  <c r="H43" i="38"/>
  <c r="C56" i="38"/>
  <c r="C61" i="38" s="1"/>
  <c r="C58" i="38"/>
  <c r="E14" i="38"/>
  <c r="E12" i="38"/>
  <c r="E10" i="38"/>
  <c r="H41" i="38"/>
  <c r="H46" i="38" s="1"/>
  <c r="J56" i="38"/>
  <c r="J61" i="38" s="1"/>
  <c r="J58" i="38"/>
  <c r="C11" i="38"/>
  <c r="C16" i="38" s="1"/>
  <c r="C13" i="38"/>
  <c r="F25" i="38"/>
  <c r="F26" i="38"/>
  <c r="F31" i="38" s="1"/>
  <c r="F27" i="38"/>
  <c r="E29" i="38"/>
  <c r="I40" i="38"/>
  <c r="E41" i="38"/>
  <c r="E46" i="38" s="1"/>
  <c r="M41" i="38"/>
  <c r="M46" i="38" s="1"/>
  <c r="I42" i="38"/>
  <c r="E43" i="38"/>
  <c r="M43" i="38"/>
  <c r="D55" i="38"/>
  <c r="L55" i="38"/>
  <c r="H56" i="38"/>
  <c r="H61" i="38" s="1"/>
  <c r="D57" i="38"/>
  <c r="L57" i="38"/>
  <c r="H58" i="38"/>
  <c r="F41" i="38"/>
  <c r="F46" i="38" s="1"/>
  <c r="N41" i="38"/>
  <c r="N46" i="38" s="1"/>
  <c r="F43" i="38"/>
  <c r="N43" i="38"/>
  <c r="I56" i="38"/>
  <c r="I61" i="38" s="1"/>
  <c r="I58" i="38"/>
  <c r="C10" i="38"/>
  <c r="C12" i="38"/>
  <c r="J25" i="38"/>
  <c r="J26" i="38"/>
  <c r="J31" i="38" s="1"/>
  <c r="J27" i="38"/>
  <c r="J28" i="38"/>
  <c r="E40" i="38"/>
  <c r="M40" i="38"/>
  <c r="I41" i="38"/>
  <c r="I46" i="38" s="1"/>
  <c r="E42" i="38"/>
  <c r="M42" i="38"/>
  <c r="D44" i="38"/>
  <c r="H55" i="38"/>
  <c r="D56" i="38"/>
  <c r="D61" i="38" s="1"/>
  <c r="L56" i="38"/>
  <c r="L61" i="38" s="1"/>
  <c r="H57" i="38"/>
  <c r="G59" i="38"/>
  <c r="C25" i="38"/>
  <c r="C26" i="38"/>
  <c r="C31" i="38" s="1"/>
  <c r="C27" i="38"/>
  <c r="C28" i="38"/>
  <c r="J29" i="38"/>
  <c r="F40" i="38"/>
  <c r="N40" i="38"/>
  <c r="J41" i="38"/>
  <c r="J46" i="38" s="1"/>
  <c r="F42" i="38"/>
  <c r="N42" i="38"/>
  <c r="E44" i="38"/>
  <c r="M44" i="38"/>
  <c r="I55" i="38"/>
  <c r="E56" i="38"/>
  <c r="E61" i="38" s="1"/>
  <c r="M56" i="38"/>
  <c r="M61" i="38" s="1"/>
  <c r="I57" i="38"/>
  <c r="H59" i="38"/>
  <c r="D25" i="38"/>
  <c r="D26" i="38"/>
  <c r="D31" i="38" s="1"/>
  <c r="D27" i="38"/>
  <c r="D28" i="38"/>
  <c r="C29" i="38"/>
  <c r="C41" i="38"/>
  <c r="C46" i="38" s="1"/>
  <c r="K41" i="38"/>
  <c r="K46" i="38" s="1"/>
  <c r="F44" i="38"/>
  <c r="N44" i="38"/>
  <c r="F56" i="38"/>
  <c r="F61" i="38" s="1"/>
  <c r="N56" i="38"/>
  <c r="N61" i="38" s="1"/>
  <c r="I59" i="38"/>
  <c r="E25" i="38"/>
  <c r="E26" i="38"/>
  <c r="E31" i="38" s="1"/>
  <c r="E27" i="38"/>
  <c r="D29" i="38"/>
  <c r="D41" i="38"/>
  <c r="D46" i="38" s="1"/>
  <c r="L41" i="38"/>
  <c r="L46" i="38" s="1"/>
  <c r="G56" i="38"/>
  <c r="G61" i="38" s="1"/>
  <c r="G17" i="40" l="1"/>
  <c r="F7" i="44"/>
  <c r="J7" i="44"/>
  <c r="G7" i="44"/>
  <c r="K7" i="44"/>
  <c r="D17" i="40"/>
  <c r="D18" i="40" s="1"/>
  <c r="G43" i="44"/>
  <c r="F43" i="44"/>
  <c r="J43" i="44"/>
  <c r="J16" i="44"/>
  <c r="K43" i="44"/>
  <c r="C16" i="44"/>
  <c r="G16" i="44"/>
  <c r="K14" i="44"/>
  <c r="F14" i="44"/>
  <c r="J40" i="44"/>
  <c r="G40" i="44"/>
  <c r="J31" i="44"/>
  <c r="J14" i="44"/>
  <c r="D17" i="38"/>
  <c r="E17" i="38"/>
  <c r="J32" i="38"/>
  <c r="F16" i="44"/>
  <c r="C7" i="44"/>
  <c r="G41" i="44"/>
  <c r="F55" i="44"/>
  <c r="K55" i="44"/>
  <c r="C25" i="44"/>
  <c r="J28" i="44"/>
  <c r="G55" i="44"/>
  <c r="F18" i="44"/>
  <c r="K39" i="44"/>
  <c r="F52" i="44"/>
  <c r="C52" i="44"/>
  <c r="C55" i="44"/>
  <c r="F17" i="38"/>
  <c r="C17" i="38"/>
  <c r="F41" i="44"/>
  <c r="K40" i="44"/>
  <c r="K41" i="44"/>
  <c r="J27" i="44"/>
  <c r="K19" i="44"/>
  <c r="F34" i="44"/>
  <c r="F29" i="44"/>
  <c r="C50" i="44"/>
  <c r="J50" i="44"/>
  <c r="F40" i="44"/>
  <c r="J53" i="44"/>
  <c r="F47" i="44"/>
  <c r="J24" i="44"/>
  <c r="F50" i="44"/>
  <c r="G14" i="44"/>
  <c r="G50" i="44"/>
  <c r="K34" i="44"/>
  <c r="K23" i="44"/>
  <c r="K44" i="44"/>
  <c r="F17" i="44"/>
  <c r="G44" i="44"/>
  <c r="C44" i="44"/>
  <c r="F39" i="44"/>
  <c r="C39" i="44"/>
  <c r="G34" i="44"/>
  <c r="C14" i="44"/>
  <c r="C47" i="44"/>
  <c r="G13" i="44"/>
  <c r="C11" i="44"/>
  <c r="C34" i="44"/>
  <c r="J45" i="44"/>
  <c r="H45" i="44"/>
  <c r="G20" i="44"/>
  <c r="H20" i="44"/>
  <c r="C23" i="44"/>
  <c r="H23" i="44"/>
  <c r="C26" i="44"/>
  <c r="H26" i="44"/>
  <c r="G39" i="44"/>
  <c r="J34" i="44"/>
  <c r="G37" i="44"/>
  <c r="K32" i="44"/>
  <c r="H32" i="44"/>
  <c r="G35" i="44"/>
  <c r="H35" i="44"/>
  <c r="C38" i="44"/>
  <c r="H38" i="44"/>
  <c r="K29" i="44"/>
  <c r="H29" i="44"/>
  <c r="G9" i="44"/>
  <c r="H9" i="44"/>
  <c r="F12" i="44"/>
  <c r="H12" i="44"/>
  <c r="J15" i="44"/>
  <c r="H15" i="44"/>
  <c r="K54" i="44"/>
  <c r="H54" i="44"/>
  <c r="F13" i="44"/>
  <c r="J20" i="44"/>
  <c r="K17" i="44"/>
  <c r="J21" i="44"/>
  <c r="H21" i="44"/>
  <c r="G24" i="44"/>
  <c r="H24" i="44"/>
  <c r="J48" i="44"/>
  <c r="H48" i="44"/>
  <c r="F36" i="44"/>
  <c r="H36" i="44"/>
  <c r="K18" i="44"/>
  <c r="H18" i="44"/>
  <c r="G42" i="44"/>
  <c r="H42" i="44"/>
  <c r="F33" i="44"/>
  <c r="H33" i="44"/>
  <c r="K50" i="44"/>
  <c r="J23" i="44"/>
  <c r="K8" i="44"/>
  <c r="J46" i="44"/>
  <c r="H46" i="44"/>
  <c r="K49" i="44"/>
  <c r="H49" i="44"/>
  <c r="G52" i="44"/>
  <c r="H52" i="44"/>
  <c r="K30" i="44"/>
  <c r="H30" i="44"/>
  <c r="K22" i="44"/>
  <c r="H22" i="44"/>
  <c r="G51" i="44"/>
  <c r="H51" i="44"/>
  <c r="K10" i="44"/>
  <c r="H10" i="44"/>
  <c r="K13" i="44"/>
  <c r="G10" i="44"/>
  <c r="F23" i="44"/>
  <c r="F51" i="44"/>
  <c r="J39" i="44"/>
  <c r="K16" i="44"/>
  <c r="F10" i="44"/>
  <c r="B40" i="44"/>
  <c r="H40" i="44"/>
  <c r="F44" i="44"/>
  <c r="H44" i="44"/>
  <c r="H6" i="44"/>
  <c r="C6" i="44"/>
  <c r="K24" i="44"/>
  <c r="B6" i="44"/>
  <c r="K26" i="44"/>
  <c r="J26" i="44"/>
  <c r="J6" i="44"/>
  <c r="F26" i="44"/>
  <c r="K6" i="44"/>
  <c r="F6" i="44"/>
  <c r="G29" i="44"/>
  <c r="C32" i="44"/>
  <c r="K9" i="44"/>
  <c r="C9" i="44"/>
  <c r="K51" i="44"/>
  <c r="K45" i="44"/>
  <c r="J9" i="44"/>
  <c r="F9" i="44"/>
  <c r="F45" i="44"/>
  <c r="C42" i="44"/>
  <c r="C45" i="44"/>
  <c r="J12" i="44"/>
  <c r="G45" i="44"/>
  <c r="J42" i="44"/>
  <c r="K12" i="44"/>
  <c r="G12" i="44"/>
  <c r="K48" i="44"/>
  <c r="K42" i="44"/>
  <c r="C12" i="44"/>
  <c r="G48" i="44"/>
  <c r="F48" i="44"/>
  <c r="C48" i="44"/>
  <c r="F42" i="44"/>
  <c r="G17" i="44"/>
  <c r="G46" i="44"/>
  <c r="F32" i="44"/>
  <c r="G26" i="44"/>
  <c r="G47" i="44"/>
  <c r="J32" i="44"/>
  <c r="F21" i="44"/>
  <c r="G21" i="44"/>
  <c r="C29" i="44"/>
  <c r="F19" i="44"/>
  <c r="F38" i="44"/>
  <c r="J17" i="44"/>
  <c r="C24" i="44"/>
  <c r="K52" i="44"/>
  <c r="G38" i="44"/>
  <c r="C18" i="44"/>
  <c r="F15" i="44"/>
  <c r="F28" i="44"/>
  <c r="J18" i="44"/>
  <c r="G15" i="44"/>
  <c r="G28" i="44"/>
  <c r="C10" i="44"/>
  <c r="F30" i="44"/>
  <c r="G30" i="44"/>
  <c r="J55" i="44"/>
  <c r="J38" i="44"/>
  <c r="G19" i="44"/>
  <c r="K38" i="44"/>
  <c r="C19" i="44"/>
  <c r="C41" i="44"/>
  <c r="G53" i="44"/>
  <c r="F54" i="44"/>
  <c r="K47" i="44"/>
  <c r="J19" i="44"/>
  <c r="G54" i="44"/>
  <c r="J41" i="44"/>
  <c r="F46" i="44"/>
  <c r="C17" i="44"/>
  <c r="C54" i="44"/>
  <c r="K53" i="44"/>
  <c r="J54" i="44"/>
  <c r="F53" i="44"/>
  <c r="K20" i="44"/>
  <c r="C20" i="44"/>
  <c r="F20" i="44"/>
  <c r="C43" i="44"/>
  <c r="J47" i="44"/>
  <c r="K46" i="44"/>
  <c r="C15" i="44"/>
  <c r="K15" i="44"/>
  <c r="G33" i="44"/>
  <c r="K31" i="44"/>
  <c r="K35" i="44"/>
  <c r="F8" i="44"/>
  <c r="F22" i="44"/>
  <c r="C35" i="44"/>
  <c r="J35" i="44"/>
  <c r="G8" i="44"/>
  <c r="G22" i="44"/>
  <c r="F31" i="44"/>
  <c r="F11" i="44"/>
  <c r="G31" i="44"/>
  <c r="G11" i="44"/>
  <c r="C46" i="44"/>
  <c r="F35" i="44"/>
  <c r="K33" i="44"/>
  <c r="C33" i="44"/>
  <c r="F25" i="44"/>
  <c r="J33" i="44"/>
  <c r="K28" i="44"/>
  <c r="G25" i="44"/>
  <c r="J10" i="44"/>
  <c r="C8" i="44"/>
  <c r="J8" i="44"/>
  <c r="C22" i="44"/>
  <c r="F27" i="44"/>
  <c r="J11" i="44"/>
  <c r="K11" i="44"/>
  <c r="K27" i="44"/>
  <c r="K21" i="44"/>
  <c r="C51" i="44"/>
  <c r="C53" i="44"/>
  <c r="C31" i="44"/>
  <c r="C21" i="44"/>
  <c r="C13" i="44"/>
  <c r="C49" i="44"/>
  <c r="G27" i="44"/>
  <c r="F37" i="44"/>
  <c r="F49" i="44"/>
  <c r="J36" i="44"/>
  <c r="K36" i="44"/>
  <c r="J51" i="44"/>
  <c r="G36" i="44"/>
  <c r="C36" i="44"/>
  <c r="G49" i="44"/>
  <c r="J37" i="44"/>
  <c r="C30" i="44"/>
  <c r="J25" i="44"/>
  <c r="K37" i="44"/>
  <c r="J30" i="44"/>
  <c r="K25" i="44"/>
  <c r="C37" i="44"/>
  <c r="J49" i="44"/>
  <c r="C27" i="44"/>
  <c r="C28" i="44"/>
  <c r="J13" i="44"/>
  <c r="J22" i="44"/>
  <c r="I32" i="38"/>
  <c r="M47" i="38"/>
  <c r="N47" i="38"/>
  <c r="K47" i="38"/>
  <c r="L47" i="38"/>
  <c r="N62" i="38"/>
  <c r="L62" i="38"/>
  <c r="M62" i="38"/>
  <c r="F62" i="38"/>
  <c r="C32" i="38"/>
  <c r="D47" i="40"/>
  <c r="E47" i="40"/>
  <c r="G32" i="38"/>
  <c r="E47" i="38"/>
  <c r="F32" i="38"/>
  <c r="H32" i="40"/>
  <c r="G47" i="40"/>
  <c r="F32" i="40"/>
  <c r="H47" i="40"/>
  <c r="C32" i="40"/>
  <c r="H62" i="38"/>
  <c r="I62" i="38"/>
  <c r="D33" i="40"/>
  <c r="C47" i="40"/>
  <c r="D32" i="38"/>
  <c r="E32" i="40"/>
  <c r="G32" i="40"/>
  <c r="F47" i="40"/>
  <c r="C62" i="38"/>
  <c r="J62" i="38"/>
  <c r="D47" i="38"/>
  <c r="E62" i="38"/>
  <c r="D62" i="38"/>
  <c r="I47" i="38"/>
  <c r="G62" i="38"/>
  <c r="H32" i="38"/>
  <c r="C47" i="38"/>
  <c r="K62" i="38"/>
  <c r="G47" i="38"/>
  <c r="J47" i="38"/>
  <c r="F47" i="38"/>
  <c r="E32" i="38"/>
  <c r="H47" i="38"/>
  <c r="I6" i="44" l="1"/>
  <c r="C18" i="40"/>
  <c r="G18" i="40"/>
  <c r="H18" i="40"/>
  <c r="F18" i="40"/>
  <c r="E18" i="40"/>
  <c r="K48" i="38"/>
  <c r="L48" i="38"/>
  <c r="G33" i="40"/>
  <c r="E48" i="40"/>
  <c r="H48" i="40"/>
  <c r="G48" i="40"/>
  <c r="F48" i="40"/>
  <c r="D48" i="40"/>
  <c r="H33" i="40"/>
  <c r="C33" i="40"/>
  <c r="C48" i="40"/>
  <c r="E33" i="40"/>
  <c r="F33" i="40"/>
  <c r="K63" i="38"/>
  <c r="F18" i="38"/>
  <c r="N63" i="38"/>
  <c r="G63" i="38"/>
  <c r="E18" i="38"/>
  <c r="C18" i="38"/>
  <c r="D63" i="38"/>
  <c r="L63" i="38"/>
  <c r="J48" i="38"/>
  <c r="M63" i="38"/>
  <c r="N48" i="38"/>
  <c r="H63" i="38"/>
  <c r="I33" i="38"/>
  <c r="H48" i="38"/>
  <c r="G48" i="38"/>
  <c r="M48" i="38"/>
  <c r="H33" i="38"/>
  <c r="D18" i="38"/>
  <c r="G33" i="38"/>
  <c r="J33" i="38"/>
  <c r="D33" i="38"/>
  <c r="D48" i="38"/>
  <c r="C33" i="38"/>
  <c r="F63" i="38"/>
  <c r="J63" i="38"/>
  <c r="C48" i="38"/>
  <c r="I48" i="38"/>
  <c r="E33" i="38"/>
  <c r="E48" i="38"/>
  <c r="F48" i="38"/>
  <c r="I63" i="38"/>
  <c r="F33" i="38"/>
  <c r="E63" i="38"/>
  <c r="C63" i="38"/>
  <c r="I14" i="23" l="1"/>
  <c r="H14" i="23"/>
  <c r="I28" i="19" l="1"/>
  <c r="H28" i="19"/>
  <c r="G28" i="19"/>
  <c r="F28" i="19"/>
  <c r="E28" i="19"/>
  <c r="D28" i="19"/>
  <c r="J27" i="19"/>
  <c r="J26" i="19"/>
  <c r="J25" i="19"/>
  <c r="J28" i="19" l="1"/>
  <c r="D19" i="33" l="1"/>
  <c r="D17" i="33"/>
  <c r="B47" i="33" l="1"/>
  <c r="B46" i="33"/>
  <c r="B31" i="33"/>
  <c r="B30" i="33"/>
  <c r="B15" i="33"/>
  <c r="B14" i="33"/>
  <c r="C30" i="23"/>
  <c r="B63" i="23"/>
  <c r="B62" i="23"/>
  <c r="B47" i="23"/>
  <c r="B46" i="23"/>
  <c r="B31" i="23"/>
  <c r="B30" i="23"/>
  <c r="B14" i="23"/>
  <c r="B15" i="23"/>
  <c r="O31" i="23"/>
  <c r="N31" i="23"/>
  <c r="M31" i="23"/>
  <c r="L31" i="23"/>
  <c r="K31" i="23"/>
  <c r="J31" i="23"/>
  <c r="I31" i="23"/>
  <c r="H31" i="23"/>
  <c r="G31" i="23"/>
  <c r="F31" i="23"/>
  <c r="E31" i="23"/>
  <c r="D31" i="23"/>
  <c r="C31" i="23"/>
  <c r="O30" i="23"/>
  <c r="N30" i="23"/>
  <c r="M30" i="23"/>
  <c r="L30" i="23"/>
  <c r="K30" i="23"/>
  <c r="J30" i="23"/>
  <c r="I30" i="23"/>
  <c r="H30" i="23"/>
  <c r="G30" i="23"/>
  <c r="F30" i="23"/>
  <c r="E30" i="23"/>
  <c r="D30" i="23"/>
  <c r="J15" i="23"/>
  <c r="I15" i="23"/>
  <c r="H15" i="23"/>
  <c r="G15" i="23"/>
  <c r="F15" i="23"/>
  <c r="E15" i="23"/>
  <c r="C15" i="23"/>
  <c r="J14" i="23"/>
  <c r="G14" i="23"/>
  <c r="F14" i="23"/>
  <c r="E14" i="23"/>
  <c r="H40" i="33" l="1"/>
  <c r="H48" i="33" s="1"/>
  <c r="G40" i="33"/>
  <c r="G48" i="33" s="1"/>
  <c r="F40" i="33"/>
  <c r="F48" i="33" s="1"/>
  <c r="E40" i="33"/>
  <c r="E48" i="33" s="1"/>
  <c r="D40" i="33"/>
  <c r="D48" i="33" s="1"/>
  <c r="C40" i="33"/>
  <c r="C48" i="33" s="1"/>
  <c r="H8" i="33"/>
  <c r="H16" i="33" s="1"/>
  <c r="G8" i="33"/>
  <c r="G16" i="33" s="1"/>
  <c r="F8" i="33"/>
  <c r="F16" i="33" s="1"/>
  <c r="E8" i="33"/>
  <c r="E16" i="33" s="1"/>
  <c r="D8" i="33"/>
  <c r="D16" i="33" s="1"/>
  <c r="C8" i="33"/>
  <c r="C16" i="33" s="1"/>
  <c r="E14" i="33" l="1"/>
  <c r="E15" i="33"/>
  <c r="G14" i="33"/>
  <c r="G15" i="33"/>
  <c r="H15" i="33"/>
  <c r="H14" i="33"/>
  <c r="F14" i="33"/>
  <c r="F15" i="33"/>
  <c r="H45" i="33"/>
  <c r="H46" i="33"/>
  <c r="H42" i="33"/>
  <c r="H47" i="33"/>
  <c r="H43" i="33"/>
  <c r="H49" i="33" s="1"/>
  <c r="H44" i="33"/>
  <c r="D45" i="33"/>
  <c r="D44" i="33"/>
  <c r="D47" i="33"/>
  <c r="D43" i="33"/>
  <c r="D49" i="33" s="1"/>
  <c r="D46" i="33"/>
  <c r="D42" i="33"/>
  <c r="C13" i="33"/>
  <c r="C14" i="33"/>
  <c r="C15" i="33"/>
  <c r="E44" i="33"/>
  <c r="E45" i="33"/>
  <c r="E46" i="33"/>
  <c r="E42" i="33"/>
  <c r="E47" i="33"/>
  <c r="E43" i="33"/>
  <c r="E49" i="33" s="1"/>
  <c r="C47" i="33"/>
  <c r="C43" i="33"/>
  <c r="C49" i="33" s="1"/>
  <c r="C44" i="33"/>
  <c r="C45" i="33"/>
  <c r="C46" i="33"/>
  <c r="C42" i="33"/>
  <c r="D14" i="33"/>
  <c r="D15" i="33"/>
  <c r="F45" i="33"/>
  <c r="F44" i="33"/>
  <c r="F46" i="33"/>
  <c r="F42" i="33"/>
  <c r="F47" i="33"/>
  <c r="F43" i="33"/>
  <c r="F49" i="33" s="1"/>
  <c r="G45" i="33"/>
  <c r="G46" i="33"/>
  <c r="G42" i="33"/>
  <c r="G47" i="33"/>
  <c r="G43" i="33"/>
  <c r="G49" i="33" s="1"/>
  <c r="G44" i="33"/>
  <c r="D12" i="33"/>
  <c r="H10" i="33"/>
  <c r="D11" i="33"/>
  <c r="F13" i="33"/>
  <c r="C11" i="33"/>
  <c r="C17" i="33" s="1"/>
  <c r="E12" i="33"/>
  <c r="G13" i="33"/>
  <c r="F12" i="33"/>
  <c r="H13" i="33"/>
  <c r="C10" i="33"/>
  <c r="E11" i="33"/>
  <c r="E17" i="33" s="1"/>
  <c r="G12" i="33"/>
  <c r="D10" i="33"/>
  <c r="F11" i="33"/>
  <c r="F17" i="33" s="1"/>
  <c r="H12" i="33"/>
  <c r="E10" i="33"/>
  <c r="G11" i="33"/>
  <c r="G17" i="33" s="1"/>
  <c r="F10" i="33"/>
  <c r="H11" i="33"/>
  <c r="H17" i="33" s="1"/>
  <c r="D13" i="33"/>
  <c r="G10" i="33"/>
  <c r="C12" i="33"/>
  <c r="E13" i="33"/>
  <c r="F50" i="33" l="1"/>
  <c r="F18" i="33"/>
  <c r="H18" i="33"/>
  <c r="G18" i="33"/>
  <c r="C50" i="33"/>
  <c r="E50" i="33"/>
  <c r="E18" i="33"/>
  <c r="G50" i="33"/>
  <c r="H50" i="33"/>
  <c r="H24" i="33"/>
  <c r="H32" i="33" s="1"/>
  <c r="G24" i="33"/>
  <c r="G32" i="33" s="1"/>
  <c r="F24" i="33"/>
  <c r="F32" i="33" s="1"/>
  <c r="E24" i="33"/>
  <c r="E32" i="33" s="1"/>
  <c r="C24" i="33"/>
  <c r="C32" i="33" s="1"/>
  <c r="R56" i="23"/>
  <c r="R64" i="23" s="1"/>
  <c r="Q56" i="23"/>
  <c r="Q64" i="23" s="1"/>
  <c r="P56" i="23"/>
  <c r="P64" i="23" s="1"/>
  <c r="P40" i="23"/>
  <c r="P48" i="23" s="1"/>
  <c r="R40" i="23"/>
  <c r="R48" i="23" s="1"/>
  <c r="D51" i="33" l="1"/>
  <c r="C51" i="33"/>
  <c r="H19" i="33"/>
  <c r="F51" i="33"/>
  <c r="G19" i="33"/>
  <c r="H51" i="33"/>
  <c r="G51" i="33"/>
  <c r="E51" i="33"/>
  <c r="E19" i="33"/>
  <c r="F19" i="33"/>
  <c r="C19" i="33"/>
  <c r="D31" i="33"/>
  <c r="D30" i="33"/>
  <c r="E26" i="33"/>
  <c r="E31" i="33"/>
  <c r="E30" i="33"/>
  <c r="F27" i="33"/>
  <c r="F33" i="33" s="1"/>
  <c r="F31" i="33"/>
  <c r="F30" i="33"/>
  <c r="G31" i="33"/>
  <c r="G30" i="33"/>
  <c r="H31" i="33"/>
  <c r="H30" i="33"/>
  <c r="C31" i="33"/>
  <c r="C30" i="33"/>
  <c r="P31" i="23"/>
  <c r="P30" i="23"/>
  <c r="R31" i="23"/>
  <c r="R30" i="23"/>
  <c r="R59" i="23"/>
  <c r="R65" i="23" s="1"/>
  <c r="R63" i="23"/>
  <c r="R62" i="23"/>
  <c r="R47" i="23"/>
  <c r="R46" i="23"/>
  <c r="Q31" i="23"/>
  <c r="Q30" i="23"/>
  <c r="Q47" i="23"/>
  <c r="Q46" i="23"/>
  <c r="P47" i="23"/>
  <c r="P46" i="23"/>
  <c r="Q63" i="23"/>
  <c r="Q62" i="23"/>
  <c r="P63" i="23"/>
  <c r="P62" i="23"/>
  <c r="R44" i="23"/>
  <c r="R58" i="23"/>
  <c r="R60" i="23"/>
  <c r="P61" i="23"/>
  <c r="D27" i="33"/>
  <c r="D33" i="33" s="1"/>
  <c r="D35" i="33" s="1"/>
  <c r="D26" i="33"/>
  <c r="D28" i="33"/>
  <c r="D29" i="33"/>
  <c r="E29" i="33"/>
  <c r="E28" i="33"/>
  <c r="E27" i="33"/>
  <c r="E33" i="33" s="1"/>
  <c r="F28" i="33"/>
  <c r="F29" i="33"/>
  <c r="F26" i="33"/>
  <c r="G28" i="33"/>
  <c r="G27" i="33"/>
  <c r="G33" i="33" s="1"/>
  <c r="G26" i="33"/>
  <c r="G29" i="33"/>
  <c r="H26" i="33"/>
  <c r="H27" i="33"/>
  <c r="H33" i="33" s="1"/>
  <c r="H28" i="33"/>
  <c r="H29" i="33"/>
  <c r="Q29" i="23"/>
  <c r="C26" i="33"/>
  <c r="P58" i="23"/>
  <c r="P60" i="23"/>
  <c r="Q27" i="23"/>
  <c r="Q33" i="23" s="1"/>
  <c r="Q28" i="23"/>
  <c r="P28" i="23"/>
  <c r="Q60" i="23"/>
  <c r="P29" i="23"/>
  <c r="Q58" i="23"/>
  <c r="Q61" i="23"/>
  <c r="C29" i="33"/>
  <c r="P26" i="23"/>
  <c r="P59" i="23"/>
  <c r="P65" i="23" s="1"/>
  <c r="R61" i="23"/>
  <c r="Q26" i="23"/>
  <c r="Q59" i="23"/>
  <c r="Q65" i="23" s="1"/>
  <c r="C28" i="33"/>
  <c r="P27" i="23"/>
  <c r="P33" i="23" s="1"/>
  <c r="C27" i="33"/>
  <c r="C33" i="33" s="1"/>
  <c r="R45" i="23"/>
  <c r="Q42" i="23"/>
  <c r="Q45" i="23"/>
  <c r="R42" i="23"/>
  <c r="Q43" i="23"/>
  <c r="Q49" i="23" s="1"/>
  <c r="R43" i="23"/>
  <c r="R49" i="23" s="1"/>
  <c r="Q44" i="23"/>
  <c r="P42" i="23"/>
  <c r="P45" i="23"/>
  <c r="P44" i="23"/>
  <c r="P43" i="23"/>
  <c r="P49" i="23" s="1"/>
  <c r="R28" i="23"/>
  <c r="R27" i="23"/>
  <c r="R33" i="23" s="1"/>
  <c r="R26" i="23"/>
  <c r="R29" i="23"/>
  <c r="P50" i="23" l="1"/>
  <c r="E34" i="33"/>
  <c r="F34" i="33"/>
  <c r="G34" i="33"/>
  <c r="C34" i="33"/>
  <c r="P66" i="23"/>
  <c r="Q66" i="23"/>
  <c r="Q34" i="23"/>
  <c r="P34" i="23"/>
  <c r="O56" i="23"/>
  <c r="O64" i="23" s="1"/>
  <c r="N56" i="23"/>
  <c r="N64" i="23" s="1"/>
  <c r="M56" i="23"/>
  <c r="M64" i="23" s="1"/>
  <c r="L56" i="23"/>
  <c r="L64" i="23" s="1"/>
  <c r="K56" i="23"/>
  <c r="K64" i="23" s="1"/>
  <c r="J56" i="23"/>
  <c r="J64" i="23" s="1"/>
  <c r="I56" i="23"/>
  <c r="I64" i="23" s="1"/>
  <c r="H56" i="23"/>
  <c r="H64" i="23" s="1"/>
  <c r="G56" i="23"/>
  <c r="G64" i="23" s="1"/>
  <c r="F56" i="23"/>
  <c r="F64" i="23" s="1"/>
  <c r="E56" i="23"/>
  <c r="E64" i="23" s="1"/>
  <c r="D56" i="23"/>
  <c r="D64" i="23" s="1"/>
  <c r="C56" i="23"/>
  <c r="C64" i="23" s="1"/>
  <c r="O40" i="23"/>
  <c r="O48" i="23" s="1"/>
  <c r="M40" i="23"/>
  <c r="M48" i="23" s="1"/>
  <c r="K40" i="23"/>
  <c r="K48" i="23" s="1"/>
  <c r="J40" i="23"/>
  <c r="J48" i="23" s="1"/>
  <c r="I40" i="23"/>
  <c r="I48" i="23" s="1"/>
  <c r="H40" i="23"/>
  <c r="H48" i="23" s="1"/>
  <c r="G40" i="23"/>
  <c r="G48" i="23" s="1"/>
  <c r="F40" i="23"/>
  <c r="F48" i="23" s="1"/>
  <c r="E40" i="23"/>
  <c r="E48" i="23" s="1"/>
  <c r="D40" i="23"/>
  <c r="D48" i="23" s="1"/>
  <c r="O29" i="23"/>
  <c r="N29" i="23"/>
  <c r="M29" i="23"/>
  <c r="L29" i="23"/>
  <c r="K29" i="23"/>
  <c r="J29" i="23"/>
  <c r="I29" i="23"/>
  <c r="H29" i="23"/>
  <c r="G29" i="23"/>
  <c r="F29" i="23"/>
  <c r="E29" i="23"/>
  <c r="D29" i="23"/>
  <c r="O28" i="23"/>
  <c r="N28" i="23"/>
  <c r="M28" i="23"/>
  <c r="L28" i="23"/>
  <c r="K28" i="23"/>
  <c r="J28" i="23"/>
  <c r="I28" i="23"/>
  <c r="H28" i="23"/>
  <c r="G28" i="23"/>
  <c r="F28" i="23"/>
  <c r="E28" i="23"/>
  <c r="D28" i="23"/>
  <c r="O27" i="23"/>
  <c r="O33" i="23" s="1"/>
  <c r="N27" i="23"/>
  <c r="N33" i="23" s="1"/>
  <c r="M27" i="23"/>
  <c r="M33" i="23" s="1"/>
  <c r="L27" i="23"/>
  <c r="L33" i="23" s="1"/>
  <c r="K27" i="23"/>
  <c r="K33" i="23" s="1"/>
  <c r="J27" i="23"/>
  <c r="J33" i="23" s="1"/>
  <c r="I27" i="23"/>
  <c r="I33" i="23" s="1"/>
  <c r="I34" i="23" s="1"/>
  <c r="H27" i="23"/>
  <c r="H33" i="23" s="1"/>
  <c r="G27" i="23"/>
  <c r="G33" i="23" s="1"/>
  <c r="F27" i="23"/>
  <c r="F33" i="23" s="1"/>
  <c r="F34" i="23" s="1"/>
  <c r="E27" i="23"/>
  <c r="E33" i="23" s="1"/>
  <c r="D33" i="23"/>
  <c r="O26" i="23"/>
  <c r="N26" i="23"/>
  <c r="M26" i="23"/>
  <c r="L26" i="23"/>
  <c r="K26" i="23"/>
  <c r="J26" i="23"/>
  <c r="I26" i="23"/>
  <c r="H26" i="23"/>
  <c r="G26" i="23"/>
  <c r="F26" i="23"/>
  <c r="E26" i="23"/>
  <c r="D26" i="23"/>
  <c r="C26" i="23"/>
  <c r="C29" i="23"/>
  <c r="C28" i="23"/>
  <c r="C27" i="23"/>
  <c r="C33" i="23" s="1"/>
  <c r="C10" i="23"/>
  <c r="J13" i="23"/>
  <c r="I13" i="23"/>
  <c r="H13" i="23"/>
  <c r="G13" i="23"/>
  <c r="F13" i="23"/>
  <c r="J12" i="23"/>
  <c r="I12" i="23"/>
  <c r="H12" i="23"/>
  <c r="F12" i="23"/>
  <c r="J11" i="23"/>
  <c r="J17" i="23" s="1"/>
  <c r="I11" i="23"/>
  <c r="I17" i="23" s="1"/>
  <c r="H11" i="23"/>
  <c r="H17" i="23" s="1"/>
  <c r="G11" i="23"/>
  <c r="G17" i="23" s="1"/>
  <c r="F11" i="23"/>
  <c r="F17" i="23" s="1"/>
  <c r="J10" i="23"/>
  <c r="I10" i="23"/>
  <c r="H10" i="23"/>
  <c r="G10" i="23"/>
  <c r="E12" i="23"/>
  <c r="E11" i="23"/>
  <c r="E17" i="23" s="1"/>
  <c r="E18" i="23" s="1"/>
  <c r="E10" i="23"/>
  <c r="C12" i="23"/>
  <c r="C17" i="23"/>
  <c r="C18" i="23" s="1"/>
  <c r="L34" i="23" l="1"/>
  <c r="J34" i="23"/>
  <c r="E34" i="23"/>
  <c r="M34" i="23"/>
  <c r="I18" i="23"/>
  <c r="N34" i="23"/>
  <c r="O34" i="23"/>
  <c r="H34" i="23"/>
  <c r="G34" i="23"/>
  <c r="K34" i="23"/>
  <c r="D34" i="23"/>
  <c r="H18" i="23"/>
  <c r="J18" i="23"/>
  <c r="G18" i="23"/>
  <c r="C34" i="23"/>
  <c r="F18" i="23"/>
  <c r="C35" i="33"/>
  <c r="H35" i="33"/>
  <c r="R35" i="23"/>
  <c r="G35" i="33"/>
  <c r="E35" i="33"/>
  <c r="F35" i="33"/>
  <c r="D43" i="23"/>
  <c r="D49" i="23" s="1"/>
  <c r="D47" i="23"/>
  <c r="D46" i="23"/>
  <c r="D42" i="23"/>
  <c r="L44" i="23"/>
  <c r="L47" i="23"/>
  <c r="L46" i="23"/>
  <c r="G60" i="23"/>
  <c r="G63" i="23"/>
  <c r="G62" i="23"/>
  <c r="O60" i="23"/>
  <c r="O63" i="23"/>
  <c r="O62" i="23"/>
  <c r="E45" i="23"/>
  <c r="E47" i="23"/>
  <c r="E46" i="23"/>
  <c r="M45" i="23"/>
  <c r="M47" i="23"/>
  <c r="M46" i="23"/>
  <c r="H61" i="23"/>
  <c r="H63" i="23"/>
  <c r="H62" i="23"/>
  <c r="F45" i="23"/>
  <c r="F47" i="23"/>
  <c r="F46" i="23"/>
  <c r="N45" i="23"/>
  <c r="N47" i="23"/>
  <c r="N46" i="23"/>
  <c r="N50" i="23" s="1"/>
  <c r="I63" i="23"/>
  <c r="I62" i="23"/>
  <c r="G47" i="23"/>
  <c r="G46" i="23"/>
  <c r="O47" i="23"/>
  <c r="O46" i="23"/>
  <c r="J63" i="23"/>
  <c r="J62" i="23"/>
  <c r="H47" i="23"/>
  <c r="H46" i="23"/>
  <c r="C62" i="23"/>
  <c r="C63" i="23"/>
  <c r="K58" i="23"/>
  <c r="K63" i="23"/>
  <c r="K62" i="23"/>
  <c r="I47" i="23"/>
  <c r="I46" i="23"/>
  <c r="D59" i="23"/>
  <c r="D65" i="23" s="1"/>
  <c r="D63" i="23"/>
  <c r="D62" i="23"/>
  <c r="L59" i="23"/>
  <c r="L65" i="23" s="1"/>
  <c r="L63" i="23"/>
  <c r="L62" i="23"/>
  <c r="J47" i="23"/>
  <c r="J46" i="23"/>
  <c r="E58" i="23"/>
  <c r="E63" i="23"/>
  <c r="E62" i="23"/>
  <c r="M58" i="23"/>
  <c r="M63" i="23"/>
  <c r="M62" i="23"/>
  <c r="C47" i="23"/>
  <c r="C46" i="23"/>
  <c r="K47" i="23"/>
  <c r="K46" i="23"/>
  <c r="F59" i="23"/>
  <c r="F65" i="23" s="1"/>
  <c r="F63" i="23"/>
  <c r="F62" i="23"/>
  <c r="N59" i="23"/>
  <c r="N65" i="23" s="1"/>
  <c r="N63" i="23"/>
  <c r="N62" i="23"/>
  <c r="G45" i="23"/>
  <c r="F58" i="23"/>
  <c r="H58" i="23"/>
  <c r="I59" i="23"/>
  <c r="I65" i="23" s="1"/>
  <c r="J59" i="23"/>
  <c r="J65" i="23" s="1"/>
  <c r="J60" i="23"/>
  <c r="L58" i="23"/>
  <c r="O45" i="23"/>
  <c r="N58" i="23"/>
  <c r="G61" i="23"/>
  <c r="D44" i="23"/>
  <c r="O58" i="23"/>
  <c r="I61" i="23"/>
  <c r="I42" i="23"/>
  <c r="F60" i="23"/>
  <c r="J61" i="23"/>
  <c r="J42" i="23"/>
  <c r="D58" i="23"/>
  <c r="G59" i="23"/>
  <c r="G65" i="23" s="1"/>
  <c r="H60" i="23"/>
  <c r="O61" i="23"/>
  <c r="I44" i="23"/>
  <c r="G58" i="23"/>
  <c r="N60" i="23"/>
  <c r="O44" i="23"/>
  <c r="O59" i="23"/>
  <c r="O65" i="23" s="1"/>
  <c r="C58" i="23"/>
  <c r="M44" i="23"/>
  <c r="C59" i="23"/>
  <c r="C65" i="23" s="1"/>
  <c r="H59" i="23"/>
  <c r="H65" i="23" s="1"/>
  <c r="I60" i="23"/>
  <c r="C60" i="23"/>
  <c r="C61" i="23"/>
  <c r="I58" i="23"/>
  <c r="K60" i="23"/>
  <c r="D61" i="23"/>
  <c r="L61" i="23"/>
  <c r="K61" i="23"/>
  <c r="J58" i="23"/>
  <c r="K59" i="23"/>
  <c r="K65" i="23" s="1"/>
  <c r="D60" i="23"/>
  <c r="L60" i="23"/>
  <c r="E61" i="23"/>
  <c r="M61" i="23"/>
  <c r="E60" i="23"/>
  <c r="M60" i="23"/>
  <c r="F61" i="23"/>
  <c r="N61" i="23"/>
  <c r="E44" i="23"/>
  <c r="I45" i="23"/>
  <c r="E59" i="23"/>
  <c r="E65" i="23" s="1"/>
  <c r="M59" i="23"/>
  <c r="M65" i="23" s="1"/>
  <c r="G44" i="23"/>
  <c r="J45" i="23"/>
  <c r="C43" i="23"/>
  <c r="C49" i="23" s="1"/>
  <c r="D45" i="23"/>
  <c r="L43" i="23"/>
  <c r="L49" i="23" s="1"/>
  <c r="F44" i="23"/>
  <c r="N44" i="23"/>
  <c r="H45" i="23"/>
  <c r="C45" i="23"/>
  <c r="L42" i="23"/>
  <c r="F43" i="23"/>
  <c r="F49" i="23" s="1"/>
  <c r="N43" i="23"/>
  <c r="N49" i="23" s="1"/>
  <c r="H44" i="23"/>
  <c r="C44" i="23"/>
  <c r="E42" i="23"/>
  <c r="M42" i="23"/>
  <c r="G43" i="23"/>
  <c r="G49" i="23" s="1"/>
  <c r="O43" i="23"/>
  <c r="O49" i="23" s="1"/>
  <c r="K45" i="23"/>
  <c r="K43" i="23"/>
  <c r="K49" i="23" s="1"/>
  <c r="E43" i="23"/>
  <c r="E49" i="23" s="1"/>
  <c r="M43" i="23"/>
  <c r="M49" i="23" s="1"/>
  <c r="F42" i="23"/>
  <c r="N42" i="23"/>
  <c r="H43" i="23"/>
  <c r="H49" i="23" s="1"/>
  <c r="J44" i="23"/>
  <c r="L45" i="23"/>
  <c r="K42" i="23"/>
  <c r="G42" i="23"/>
  <c r="O42" i="23"/>
  <c r="I43" i="23"/>
  <c r="I49" i="23" s="1"/>
  <c r="K44" i="23"/>
  <c r="H42" i="23"/>
  <c r="J43" i="23"/>
  <c r="J49" i="23" s="1"/>
  <c r="E18" i="32"/>
  <c r="I50" i="23" l="1"/>
  <c r="C66" i="23"/>
  <c r="K50" i="23"/>
  <c r="L66" i="23"/>
  <c r="H50" i="23"/>
  <c r="C50" i="23"/>
  <c r="F50" i="23"/>
  <c r="O66" i="23"/>
  <c r="D66" i="23"/>
  <c r="M66" i="23"/>
  <c r="O50" i="23"/>
  <c r="G66" i="23"/>
  <c r="N66" i="23"/>
  <c r="E66" i="23"/>
  <c r="G50" i="23"/>
  <c r="K66" i="23"/>
  <c r="M50" i="23"/>
  <c r="L50" i="23"/>
  <c r="F66" i="23"/>
  <c r="I66" i="23"/>
  <c r="E50" i="23"/>
  <c r="C35" i="23"/>
  <c r="K35" i="23"/>
  <c r="L35" i="23"/>
  <c r="I35" i="23"/>
  <c r="D35" i="23"/>
  <c r="N35" i="23"/>
  <c r="J35" i="23"/>
  <c r="F35" i="23"/>
  <c r="Q35" i="23"/>
  <c r="P35" i="23"/>
  <c r="E35" i="23"/>
  <c r="H35" i="23"/>
  <c r="O35" i="23"/>
  <c r="M35" i="23"/>
  <c r="G35" i="23"/>
  <c r="R67" i="23" l="1"/>
  <c r="J67" i="23"/>
  <c r="I51" i="23"/>
  <c r="R51" i="23"/>
  <c r="Q51" i="23"/>
  <c r="P51" i="23"/>
  <c r="J51" i="23"/>
  <c r="N67" i="23"/>
  <c r="H67" i="23"/>
  <c r="Q67" i="23"/>
  <c r="D51" i="23"/>
  <c r="F67" i="23"/>
  <c r="L67" i="23"/>
  <c r="C51" i="23"/>
  <c r="P67" i="23"/>
  <c r="G67" i="23"/>
  <c r="C67" i="23"/>
  <c r="K67" i="23"/>
  <c r="I67" i="23"/>
  <c r="E67" i="23"/>
  <c r="G51" i="23"/>
  <c r="N51" i="23"/>
  <c r="L51" i="23"/>
  <c r="H51" i="23"/>
  <c r="K51" i="23"/>
  <c r="E51" i="23"/>
  <c r="O67" i="23"/>
  <c r="M67" i="23"/>
  <c r="O51" i="23"/>
  <c r="D67" i="23"/>
  <c r="M51" i="23"/>
  <c r="F51" i="23"/>
  <c r="N19" i="19" l="1"/>
  <c r="N18" i="19"/>
  <c r="N17" i="19"/>
  <c r="M19" i="19"/>
  <c r="L19" i="19"/>
  <c r="M18" i="19"/>
  <c r="L18" i="19"/>
  <c r="M17" i="19"/>
  <c r="L17" i="19"/>
  <c r="M16" i="19"/>
  <c r="L16" i="19"/>
  <c r="N16" i="19"/>
  <c r="M20" i="19" l="1"/>
  <c r="L20" i="19"/>
  <c r="N20" i="19"/>
  <c r="D20" i="19" l="1"/>
  <c r="E20" i="19"/>
  <c r="F20" i="19"/>
  <c r="G20" i="19"/>
  <c r="H20" i="19"/>
  <c r="I20" i="19"/>
  <c r="J20" i="19"/>
  <c r="L3" i="44" l="1"/>
  <c r="M3" i="44"/>
  <c r="B7" i="44" l="1"/>
  <c r="E8" i="44"/>
  <c r="D10" i="44"/>
  <c r="E16" i="44"/>
  <c r="E11" i="44"/>
  <c r="D13" i="44" l="1"/>
  <c r="E13" i="44"/>
  <c r="D8" i="44"/>
  <c r="B8" i="44"/>
  <c r="N8" i="44" s="1"/>
  <c r="E10" i="44"/>
  <c r="B16" i="44"/>
  <c r="E6" i="44"/>
  <c r="D6" i="44"/>
  <c r="L7" i="44"/>
  <c r="B11" i="44"/>
  <c r="N11" i="44" s="1"/>
  <c r="M7" i="44"/>
  <c r="D9" i="44"/>
  <c r="E7" i="44"/>
  <c r="D7" i="44"/>
  <c r="B9" i="44"/>
  <c r="N7" i="44"/>
  <c r="B13" i="44"/>
  <c r="B10" i="44"/>
  <c r="B12" i="44"/>
  <c r="E12" i="44"/>
  <c r="E19" i="44"/>
  <c r="B19" i="44"/>
  <c r="M19" i="44" s="1"/>
  <c r="D16" i="44"/>
  <c r="D19" i="44"/>
  <c r="D11" i="44"/>
  <c r="D12" i="44"/>
  <c r="I8" i="44" l="1"/>
  <c r="I9" i="44"/>
  <c r="I16" i="44"/>
  <c r="I19" i="44"/>
  <c r="I7" i="44"/>
  <c r="L16" i="44"/>
  <c r="M16" i="44"/>
  <c r="N16" i="44"/>
  <c r="I10" i="44"/>
  <c r="I12" i="44"/>
  <c r="L11" i="44"/>
  <c r="L8" i="44"/>
  <c r="I11" i="44"/>
  <c r="M8" i="44"/>
  <c r="M9" i="44"/>
  <c r="M11" i="44"/>
  <c r="L19" i="44"/>
  <c r="L12" i="44"/>
  <c r="N19" i="44"/>
  <c r="I13" i="44"/>
  <c r="M10" i="44"/>
  <c r="L10" i="44"/>
  <c r="N10" i="44"/>
  <c r="E9" i="44"/>
  <c r="M6" i="44"/>
  <c r="N6" i="44"/>
  <c r="L6" i="44"/>
  <c r="N9" i="44"/>
  <c r="L9" i="44"/>
  <c r="L13" i="44"/>
  <c r="N13" i="44"/>
  <c r="M13" i="44"/>
  <c r="M12" i="44"/>
  <c r="E15" i="44"/>
  <c r="D15" i="44"/>
  <c r="B15" i="44"/>
  <c r="N12" i="44"/>
  <c r="I15" i="44"/>
  <c r="B22" i="44"/>
  <c r="E22" i="44"/>
  <c r="D22" i="44"/>
  <c r="B14" i="44"/>
  <c r="D14" i="44"/>
  <c r="E14" i="44"/>
  <c r="I22" i="44" l="1"/>
  <c r="I14" i="44"/>
  <c r="N15" i="44"/>
  <c r="L15" i="44"/>
  <c r="M15" i="44"/>
  <c r="N14" i="44"/>
  <c r="M14" i="44"/>
  <c r="L14" i="44"/>
  <c r="N22" i="44"/>
  <c r="M22" i="44"/>
  <c r="L22" i="44"/>
  <c r="E18" i="44"/>
  <c r="B18" i="44"/>
  <c r="D18" i="44"/>
  <c r="I18" i="44" l="1"/>
  <c r="N18" i="44"/>
  <c r="M18" i="44"/>
  <c r="L18" i="44"/>
  <c r="E25" i="44"/>
  <c r="D25" i="44"/>
  <c r="B25" i="44"/>
  <c r="B17" i="44"/>
  <c r="E17" i="44"/>
  <c r="D17" i="44"/>
  <c r="I25" i="44" l="1"/>
  <c r="I17" i="44"/>
  <c r="E21" i="44"/>
  <c r="B21" i="44"/>
  <c r="D21" i="44"/>
  <c r="L25" i="44"/>
  <c r="N25" i="44"/>
  <c r="M25" i="44"/>
  <c r="M17" i="44"/>
  <c r="L17" i="44"/>
  <c r="N17" i="44"/>
  <c r="I21" i="44" l="1"/>
  <c r="D20" i="44"/>
  <c r="E20" i="44"/>
  <c r="B20" i="44"/>
  <c r="M21" i="44"/>
  <c r="N21" i="44"/>
  <c r="L21" i="44"/>
  <c r="B28" i="44"/>
  <c r="E28" i="44"/>
  <c r="D28" i="44"/>
  <c r="I20" i="44" l="1"/>
  <c r="I28" i="44"/>
  <c r="L28" i="44"/>
  <c r="M28" i="44"/>
  <c r="N28" i="44"/>
  <c r="N20" i="44"/>
  <c r="M20" i="44"/>
  <c r="L20" i="44"/>
  <c r="B24" i="44"/>
  <c r="E24" i="44"/>
  <c r="D24" i="44"/>
  <c r="I24" i="44" l="1"/>
  <c r="E23" i="44"/>
  <c r="B23" i="44"/>
  <c r="D23" i="44"/>
  <c r="N24" i="44"/>
  <c r="L24" i="44"/>
  <c r="M24" i="44"/>
  <c r="E31" i="44"/>
  <c r="B31" i="44"/>
  <c r="D31" i="44"/>
  <c r="I31" i="44" l="1"/>
  <c r="I23" i="44"/>
  <c r="N31" i="44"/>
  <c r="L31" i="44"/>
  <c r="M31" i="44"/>
  <c r="N23" i="44"/>
  <c r="M23" i="44"/>
  <c r="L23" i="44"/>
  <c r="E27" i="44"/>
  <c r="B27" i="44"/>
  <c r="D27" i="44"/>
  <c r="I27" i="44" l="1"/>
  <c r="B34" i="44"/>
  <c r="E34" i="44"/>
  <c r="D34" i="44"/>
  <c r="N27" i="44"/>
  <c r="L27" i="44"/>
  <c r="M27" i="44"/>
  <c r="B26" i="44"/>
  <c r="E26" i="44"/>
  <c r="D26" i="44"/>
  <c r="I34" i="44" l="1"/>
  <c r="I26" i="44"/>
  <c r="M26" i="44"/>
  <c r="L26" i="44"/>
  <c r="N26" i="44"/>
  <c r="N34" i="44"/>
  <c r="M34" i="44"/>
  <c r="L34" i="44"/>
  <c r="D30" i="44"/>
  <c r="E30" i="44"/>
  <c r="B30" i="44"/>
  <c r="I30" i="44" l="1"/>
  <c r="D37" i="44"/>
  <c r="B37" i="44"/>
  <c r="E37" i="44"/>
  <c r="N30" i="44"/>
  <c r="M30" i="44"/>
  <c r="L30" i="44"/>
  <c r="E29" i="44"/>
  <c r="B29" i="44"/>
  <c r="D29" i="44"/>
  <c r="I37" i="44" l="1"/>
  <c r="I29" i="44"/>
  <c r="N29" i="44"/>
  <c r="M29" i="44"/>
  <c r="L29" i="44"/>
  <c r="L37" i="44"/>
  <c r="M37" i="44"/>
  <c r="N37" i="44"/>
  <c r="D33" i="44"/>
  <c r="B33" i="44"/>
  <c r="E33" i="44"/>
  <c r="I33" i="44" l="1"/>
  <c r="E40" i="44"/>
  <c r="D40" i="44"/>
  <c r="N33" i="44"/>
  <c r="M33" i="44"/>
  <c r="L33" i="44"/>
  <c r="E32" i="44"/>
  <c r="B32" i="44"/>
  <c r="D32" i="44"/>
  <c r="I32" i="44" l="1"/>
  <c r="I40" i="44"/>
  <c r="L40" i="44"/>
  <c r="N40" i="44"/>
  <c r="M40" i="44"/>
  <c r="E36" i="44"/>
  <c r="B36" i="44"/>
  <c r="D36" i="44"/>
  <c r="M32" i="44"/>
  <c r="N32" i="44"/>
  <c r="L32" i="44"/>
  <c r="I36" i="44" l="1"/>
  <c r="E35" i="44"/>
  <c r="B35" i="44"/>
  <c r="D35" i="44"/>
  <c r="N36" i="44"/>
  <c r="L36" i="44"/>
  <c r="M36" i="44"/>
  <c r="D43" i="44"/>
  <c r="E43" i="44"/>
  <c r="B43" i="44"/>
  <c r="I43" i="44" l="1"/>
  <c r="I35" i="44"/>
  <c r="L35" i="44"/>
  <c r="N35" i="44"/>
  <c r="M35" i="44"/>
  <c r="L43" i="44"/>
  <c r="M43" i="44"/>
  <c r="N43" i="44"/>
  <c r="D39" i="44"/>
  <c r="E39" i="44"/>
  <c r="B39" i="44"/>
  <c r="I39" i="44" l="1"/>
  <c r="B46" i="44"/>
  <c r="D46" i="44"/>
  <c r="E46" i="44"/>
  <c r="N39" i="44"/>
  <c r="M39" i="44"/>
  <c r="L39" i="44"/>
  <c r="E38" i="44"/>
  <c r="B38" i="44"/>
  <c r="D38" i="44"/>
  <c r="I46" i="44" l="1"/>
  <c r="M46" i="44"/>
  <c r="N46" i="44"/>
  <c r="L46" i="44"/>
  <c r="B42" i="44"/>
  <c r="E42" i="44"/>
  <c r="D42" i="44"/>
  <c r="L38" i="44"/>
  <c r="N38" i="44"/>
  <c r="M38" i="44"/>
  <c r="I38" i="44"/>
  <c r="I42" i="44" l="1"/>
  <c r="N42" i="44"/>
  <c r="M42" i="44"/>
  <c r="L42" i="44"/>
  <c r="D41" i="44"/>
  <c r="B41" i="44"/>
  <c r="E41" i="44"/>
  <c r="B49" i="44"/>
  <c r="D49" i="44"/>
  <c r="E49" i="44"/>
  <c r="I49" i="44" l="1"/>
  <c r="I41" i="44"/>
  <c r="N49" i="44"/>
  <c r="M49" i="44"/>
  <c r="L49" i="44"/>
  <c r="N41" i="44"/>
  <c r="L41" i="44"/>
  <c r="M41" i="44"/>
  <c r="E45" i="44"/>
  <c r="D45" i="44"/>
  <c r="B45" i="44"/>
  <c r="I45" i="44" l="1"/>
  <c r="B44" i="44"/>
  <c r="E44" i="44"/>
  <c r="D44" i="44"/>
  <c r="N45" i="44"/>
  <c r="M45" i="44"/>
  <c r="L45" i="44"/>
  <c r="B52" i="44"/>
  <c r="D52" i="44"/>
  <c r="E52" i="44"/>
  <c r="I44" i="44" l="1"/>
  <c r="I52" i="44"/>
  <c r="N52" i="44"/>
  <c r="L52" i="44"/>
  <c r="M52" i="44"/>
  <c r="N44" i="44"/>
  <c r="M44" i="44"/>
  <c r="L44" i="44"/>
  <c r="E48" i="44"/>
  <c r="D48" i="44"/>
  <c r="B48" i="44"/>
  <c r="I48" i="44" l="1"/>
  <c r="M48" i="44"/>
  <c r="N48" i="44"/>
  <c r="L48" i="44"/>
  <c r="E47" i="44"/>
  <c r="D47" i="44"/>
  <c r="B47" i="44"/>
  <c r="E55" i="44"/>
  <c r="I55" i="44"/>
  <c r="B55" i="44"/>
  <c r="D55" i="44"/>
  <c r="I47" i="44" l="1"/>
  <c r="M55" i="44"/>
  <c r="L55" i="44"/>
  <c r="N55" i="44"/>
  <c r="M47" i="44"/>
  <c r="N47" i="44"/>
  <c r="L47" i="44"/>
  <c r="D51" i="44"/>
  <c r="E51" i="44"/>
  <c r="B51" i="44"/>
  <c r="I51" i="44" l="1"/>
  <c r="D50" i="44"/>
  <c r="B50" i="44"/>
  <c r="E50" i="44"/>
  <c r="M51" i="44"/>
  <c r="L51" i="44"/>
  <c r="N51" i="44"/>
  <c r="I50" i="44" l="1"/>
  <c r="M50" i="44"/>
  <c r="N50" i="44"/>
  <c r="L50" i="44"/>
  <c r="E54" i="44"/>
  <c r="B54" i="44"/>
  <c r="D54" i="44"/>
  <c r="I54" i="44" l="1"/>
  <c r="D53" i="44"/>
  <c r="E53" i="44"/>
  <c r="B53" i="44"/>
  <c r="M54" i="44"/>
  <c r="L54" i="44"/>
  <c r="N54" i="44"/>
  <c r="I53" i="44" l="1"/>
  <c r="N3" i="44" s="1"/>
  <c r="M53" i="44"/>
  <c r="L53" i="44"/>
  <c r="N53" i="44"/>
  <c r="D15" i="23" l="1"/>
  <c r="D10" i="23"/>
  <c r="D13" i="23"/>
  <c r="D12" i="23"/>
  <c r="D11" i="23"/>
  <c r="D17" i="23" s="1"/>
  <c r="D14" i="23"/>
  <c r="D18" i="23" l="1"/>
  <c r="F19" i="23" s="1"/>
  <c r="J19" i="23" l="1"/>
  <c r="I19" i="23"/>
  <c r="C19" i="23"/>
  <c r="E19" i="23"/>
  <c r="G19" i="23"/>
  <c r="D19" i="23"/>
  <c r="H1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G5" authorId="0" shapeId="0" xr:uid="{12CD70F7-EE6C-4E0F-A5A4-67750BF0947B}">
      <text>
        <r>
          <rPr>
            <sz val="9"/>
            <color indexed="81"/>
            <rFont val="Arial"/>
            <family val="2"/>
          </rPr>
          <t>Applicable to non-metro Customers, based on location.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C8" authorId="0" shapeId="0" xr:uid="{00000000-0006-0000-0200-000001000000}">
      <text>
        <r>
          <rPr>
            <sz val="9"/>
            <color indexed="81"/>
            <rFont val="Tahoma"/>
            <family val="2"/>
          </rPr>
          <t xml:space="preserve">Discount for most MFD.  Small form factor BW discount = 18% 
</t>
        </r>
      </text>
    </comment>
    <comment ref="D8" authorId="0" shapeId="0" xr:uid="{00000000-0006-0000-0200-000002000000}">
      <text>
        <r>
          <rPr>
            <sz val="9"/>
            <color indexed="81"/>
            <rFont val="Tahoma"/>
            <family val="2"/>
          </rPr>
          <t xml:space="preserve">Discount for most MFD.  Small form factor BW discount = 18% 
</t>
        </r>
      </text>
    </comment>
    <comment ref="C9" authorId="0" shapeId="0" xr:uid="{00000000-0006-0000-0200-000003000000}">
      <text>
        <r>
          <rPr>
            <sz val="10"/>
            <color indexed="81"/>
            <rFont val="Arial"/>
            <family val="2"/>
          </rPr>
          <t xml:space="preserve">Discount for most MFD.  Small form factor Colour discount = 16.43% </t>
        </r>
        <r>
          <rPr>
            <b/>
            <sz val="9"/>
            <color indexed="81"/>
            <rFont val="Tahoma"/>
            <family val="2"/>
          </rPr>
          <t xml:space="preserve">
</t>
        </r>
      </text>
    </comment>
    <comment ref="D9" authorId="0" shapeId="0" xr:uid="{00000000-0006-0000-0200-000004000000}">
      <text>
        <r>
          <rPr>
            <sz val="10"/>
            <color indexed="81"/>
            <rFont val="Arial"/>
            <family val="2"/>
          </rPr>
          <t xml:space="preserve">Discount for most MFD.  Small form factor Colour discount = 16.43% </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F39" authorId="0" shapeId="0" xr:uid="{00000000-0006-0000-0F00-000001000000}">
      <text>
        <r>
          <rPr>
            <b/>
            <sz val="9"/>
            <color indexed="81"/>
            <rFont val="Tahoma"/>
            <family val="2"/>
          </rPr>
          <t>Department of Finance:</t>
        </r>
        <r>
          <rPr>
            <sz val="9"/>
            <color indexed="81"/>
            <rFont val="Tahoma"/>
            <family val="2"/>
          </rPr>
          <t xml:space="preserve">
Was a duplicate of TASKalfa 6052ci (better placed in high level)</t>
        </r>
      </text>
    </comment>
    <comment ref="BB44" authorId="0" shapeId="0" xr:uid="{00000000-0006-0000-0F00-000002000000}">
      <text>
        <r>
          <rPr>
            <b/>
            <sz val="9"/>
            <color indexed="81"/>
            <rFont val="Tahoma"/>
            <family val="2"/>
          </rPr>
          <t>10% + 770</t>
        </r>
      </text>
    </comment>
    <comment ref="BC44" authorId="0" shapeId="0" xr:uid="{00000000-0006-0000-0F00-000003000000}">
      <text>
        <r>
          <rPr>
            <b/>
            <sz val="9"/>
            <color indexed="81"/>
            <rFont val="Tahoma"/>
            <family val="2"/>
          </rPr>
          <t>10% + 770</t>
        </r>
      </text>
    </comment>
    <comment ref="BD44" authorId="0" shapeId="0" xr:uid="{00000000-0006-0000-0F00-000004000000}">
      <text>
        <r>
          <rPr>
            <b/>
            <sz val="9"/>
            <color indexed="81"/>
            <rFont val="Tahoma"/>
            <family val="2"/>
          </rPr>
          <t>10% + 770</t>
        </r>
      </text>
    </comment>
    <comment ref="BE44" authorId="0" shapeId="0" xr:uid="{00000000-0006-0000-0F00-000005000000}">
      <text>
        <r>
          <rPr>
            <b/>
            <sz val="9"/>
            <color indexed="81"/>
            <rFont val="Tahoma"/>
            <family val="2"/>
          </rPr>
          <t>10% + 770</t>
        </r>
      </text>
    </comment>
    <comment ref="BF44" authorId="0" shapeId="0" xr:uid="{00000000-0006-0000-0F00-000006000000}">
      <text>
        <r>
          <rPr>
            <b/>
            <sz val="9"/>
            <color indexed="81"/>
            <rFont val="Tahoma"/>
            <family val="2"/>
          </rPr>
          <t>10% + 770</t>
        </r>
      </text>
    </comment>
    <comment ref="BG44" authorId="0" shapeId="0" xr:uid="{00000000-0006-0000-0F00-000007000000}">
      <text>
        <r>
          <rPr>
            <b/>
            <sz val="9"/>
            <color indexed="81"/>
            <rFont val="Tahoma"/>
            <family val="2"/>
          </rPr>
          <t>10% + 770</t>
        </r>
      </text>
    </comment>
    <comment ref="BH44" authorId="0" shapeId="0" xr:uid="{00000000-0006-0000-0F00-000008000000}">
      <text>
        <r>
          <rPr>
            <b/>
            <sz val="9"/>
            <color indexed="81"/>
            <rFont val="Tahoma"/>
            <family val="2"/>
          </rPr>
          <t>10% + 770</t>
        </r>
      </text>
    </comment>
    <comment ref="BI44" authorId="0" shapeId="0" xr:uid="{00000000-0006-0000-0F00-000009000000}">
      <text>
        <r>
          <rPr>
            <b/>
            <sz val="9"/>
            <color indexed="81"/>
            <rFont val="Tahoma"/>
            <family val="2"/>
          </rPr>
          <t>10% + 770</t>
        </r>
      </text>
    </comment>
    <comment ref="BJ44" authorId="0" shapeId="0" xr:uid="{00000000-0006-0000-0F00-00000A000000}">
      <text>
        <r>
          <rPr>
            <b/>
            <sz val="9"/>
            <color indexed="81"/>
            <rFont val="Tahoma"/>
            <family val="2"/>
          </rPr>
          <t>10% + 770</t>
        </r>
      </text>
    </comment>
    <comment ref="BK44" authorId="0" shapeId="0" xr:uid="{00000000-0006-0000-0F00-00000B000000}">
      <text>
        <r>
          <rPr>
            <b/>
            <sz val="9"/>
            <color indexed="81"/>
            <rFont val="Tahoma"/>
            <family val="2"/>
          </rPr>
          <t>10% + 770</t>
        </r>
      </text>
    </comment>
    <comment ref="BB45" authorId="0" shapeId="0" xr:uid="{00000000-0006-0000-0F00-00000C000000}">
      <text>
        <r>
          <rPr>
            <b/>
            <sz val="9"/>
            <color indexed="81"/>
            <rFont val="Tahoma"/>
            <family val="2"/>
          </rPr>
          <t>10% + 770</t>
        </r>
      </text>
    </comment>
    <comment ref="BC45" authorId="0" shapeId="0" xr:uid="{00000000-0006-0000-0F00-00000D000000}">
      <text>
        <r>
          <rPr>
            <b/>
            <sz val="9"/>
            <color indexed="81"/>
            <rFont val="Tahoma"/>
            <family val="2"/>
          </rPr>
          <t>10% + 770</t>
        </r>
      </text>
    </comment>
    <comment ref="BD45" authorId="0" shapeId="0" xr:uid="{00000000-0006-0000-0F00-00000E000000}">
      <text>
        <r>
          <rPr>
            <b/>
            <sz val="9"/>
            <color indexed="81"/>
            <rFont val="Tahoma"/>
            <family val="2"/>
          </rPr>
          <t>10% + 770</t>
        </r>
      </text>
    </comment>
    <comment ref="BE45" authorId="0" shapeId="0" xr:uid="{00000000-0006-0000-0F00-00000F000000}">
      <text>
        <r>
          <rPr>
            <b/>
            <sz val="9"/>
            <color indexed="81"/>
            <rFont val="Tahoma"/>
            <family val="2"/>
          </rPr>
          <t>10% + 770</t>
        </r>
      </text>
    </comment>
    <comment ref="BF45" authorId="0" shapeId="0" xr:uid="{00000000-0006-0000-0F00-000010000000}">
      <text>
        <r>
          <rPr>
            <b/>
            <sz val="9"/>
            <color indexed="81"/>
            <rFont val="Tahoma"/>
            <family val="2"/>
          </rPr>
          <t>10% + 770</t>
        </r>
      </text>
    </comment>
    <comment ref="BG45" authorId="0" shapeId="0" xr:uid="{00000000-0006-0000-0F00-000011000000}">
      <text>
        <r>
          <rPr>
            <b/>
            <sz val="9"/>
            <color indexed="81"/>
            <rFont val="Tahoma"/>
            <family val="2"/>
          </rPr>
          <t>10% + 770</t>
        </r>
      </text>
    </comment>
    <comment ref="BH45" authorId="0" shapeId="0" xr:uid="{00000000-0006-0000-0F00-000012000000}">
      <text>
        <r>
          <rPr>
            <b/>
            <sz val="9"/>
            <color indexed="81"/>
            <rFont val="Tahoma"/>
            <family val="2"/>
          </rPr>
          <t>10% + 770</t>
        </r>
      </text>
    </comment>
    <comment ref="BI45" authorId="0" shapeId="0" xr:uid="{00000000-0006-0000-0F00-000013000000}">
      <text>
        <r>
          <rPr>
            <b/>
            <sz val="9"/>
            <color indexed="81"/>
            <rFont val="Tahoma"/>
            <family val="2"/>
          </rPr>
          <t>10% + 770</t>
        </r>
      </text>
    </comment>
    <comment ref="BJ45" authorId="0" shapeId="0" xr:uid="{00000000-0006-0000-0F00-000014000000}">
      <text>
        <r>
          <rPr>
            <b/>
            <sz val="9"/>
            <color indexed="81"/>
            <rFont val="Tahoma"/>
            <family val="2"/>
          </rPr>
          <t>10% + 770</t>
        </r>
      </text>
    </comment>
    <comment ref="BK45" authorId="0" shapeId="0" xr:uid="{00000000-0006-0000-0F00-000015000000}">
      <text>
        <r>
          <rPr>
            <b/>
            <sz val="9"/>
            <color indexed="81"/>
            <rFont val="Tahoma"/>
            <family val="2"/>
          </rPr>
          <t>10% + 770</t>
        </r>
      </text>
    </comment>
    <comment ref="BB46" authorId="0" shapeId="0" xr:uid="{00000000-0006-0000-0F00-000016000000}">
      <text>
        <r>
          <rPr>
            <b/>
            <sz val="9"/>
            <color indexed="81"/>
            <rFont val="Tahoma"/>
            <family val="2"/>
          </rPr>
          <t>10% + 770</t>
        </r>
      </text>
    </comment>
    <comment ref="BC46" authorId="0" shapeId="0" xr:uid="{00000000-0006-0000-0F00-000017000000}">
      <text>
        <r>
          <rPr>
            <b/>
            <sz val="9"/>
            <color indexed="81"/>
            <rFont val="Tahoma"/>
            <family val="2"/>
          </rPr>
          <t>10% + 770</t>
        </r>
      </text>
    </comment>
    <comment ref="BD46" authorId="0" shapeId="0" xr:uid="{00000000-0006-0000-0F00-000018000000}">
      <text>
        <r>
          <rPr>
            <b/>
            <sz val="9"/>
            <color indexed="81"/>
            <rFont val="Tahoma"/>
            <family val="2"/>
          </rPr>
          <t>10% + 770</t>
        </r>
      </text>
    </comment>
    <comment ref="BE46" authorId="0" shapeId="0" xr:uid="{00000000-0006-0000-0F00-000019000000}">
      <text>
        <r>
          <rPr>
            <b/>
            <sz val="9"/>
            <color indexed="81"/>
            <rFont val="Tahoma"/>
            <family val="2"/>
          </rPr>
          <t>10% + 770</t>
        </r>
      </text>
    </comment>
    <comment ref="BF46" authorId="0" shapeId="0" xr:uid="{00000000-0006-0000-0F00-00001A000000}">
      <text>
        <r>
          <rPr>
            <b/>
            <sz val="9"/>
            <color indexed="81"/>
            <rFont val="Tahoma"/>
            <family val="2"/>
          </rPr>
          <t>10% + 770</t>
        </r>
      </text>
    </comment>
    <comment ref="BG46" authorId="0" shapeId="0" xr:uid="{00000000-0006-0000-0F00-00001B000000}">
      <text>
        <r>
          <rPr>
            <b/>
            <sz val="9"/>
            <color indexed="81"/>
            <rFont val="Tahoma"/>
            <family val="2"/>
          </rPr>
          <t>10% + 770</t>
        </r>
      </text>
    </comment>
    <comment ref="BH46" authorId="0" shapeId="0" xr:uid="{00000000-0006-0000-0F00-00001C000000}">
      <text>
        <r>
          <rPr>
            <b/>
            <sz val="9"/>
            <color indexed="81"/>
            <rFont val="Tahoma"/>
            <family val="2"/>
          </rPr>
          <t>10% + 770</t>
        </r>
      </text>
    </comment>
    <comment ref="BI46" authorId="0" shapeId="0" xr:uid="{00000000-0006-0000-0F00-00001D000000}">
      <text>
        <r>
          <rPr>
            <b/>
            <sz val="9"/>
            <color indexed="81"/>
            <rFont val="Tahoma"/>
            <family val="2"/>
          </rPr>
          <t>10% + 770</t>
        </r>
      </text>
    </comment>
    <comment ref="BJ46" authorId="0" shapeId="0" xr:uid="{00000000-0006-0000-0F00-00001E000000}">
      <text>
        <r>
          <rPr>
            <b/>
            <sz val="9"/>
            <color indexed="81"/>
            <rFont val="Tahoma"/>
            <family val="2"/>
          </rPr>
          <t>10% + 770</t>
        </r>
      </text>
    </comment>
    <comment ref="BK46" authorId="0" shapeId="0" xr:uid="{00000000-0006-0000-0F00-00001F000000}">
      <text>
        <r>
          <rPr>
            <b/>
            <sz val="9"/>
            <color indexed="81"/>
            <rFont val="Tahoma"/>
            <family val="2"/>
          </rPr>
          <t>10% + 770</t>
        </r>
      </text>
    </comment>
    <comment ref="BB47" authorId="0" shapeId="0" xr:uid="{00000000-0006-0000-0F00-000020000000}">
      <text>
        <r>
          <rPr>
            <b/>
            <sz val="9"/>
            <color indexed="81"/>
            <rFont val="Tahoma"/>
            <family val="2"/>
          </rPr>
          <t>10% + 770</t>
        </r>
      </text>
    </comment>
    <comment ref="BC47" authorId="0" shapeId="0" xr:uid="{00000000-0006-0000-0F00-000021000000}">
      <text>
        <r>
          <rPr>
            <b/>
            <sz val="9"/>
            <color indexed="81"/>
            <rFont val="Tahoma"/>
            <family val="2"/>
          </rPr>
          <t>10% + 770</t>
        </r>
      </text>
    </comment>
    <comment ref="BD47" authorId="0" shapeId="0" xr:uid="{00000000-0006-0000-0F00-000022000000}">
      <text>
        <r>
          <rPr>
            <b/>
            <sz val="9"/>
            <color indexed="81"/>
            <rFont val="Tahoma"/>
            <family val="2"/>
          </rPr>
          <t>10% + 770</t>
        </r>
      </text>
    </comment>
    <comment ref="BE47" authorId="0" shapeId="0" xr:uid="{00000000-0006-0000-0F00-000023000000}">
      <text>
        <r>
          <rPr>
            <b/>
            <sz val="9"/>
            <color indexed="81"/>
            <rFont val="Tahoma"/>
            <family val="2"/>
          </rPr>
          <t>10% + 770</t>
        </r>
      </text>
    </comment>
    <comment ref="BF47" authorId="0" shapeId="0" xr:uid="{00000000-0006-0000-0F00-000024000000}">
      <text>
        <r>
          <rPr>
            <b/>
            <sz val="9"/>
            <color indexed="81"/>
            <rFont val="Tahoma"/>
            <family val="2"/>
          </rPr>
          <t>10% + 770</t>
        </r>
      </text>
    </comment>
    <comment ref="BG47" authorId="0" shapeId="0" xr:uid="{00000000-0006-0000-0F00-000025000000}">
      <text>
        <r>
          <rPr>
            <b/>
            <sz val="9"/>
            <color indexed="81"/>
            <rFont val="Tahoma"/>
            <family val="2"/>
          </rPr>
          <t>10% + 770</t>
        </r>
      </text>
    </comment>
    <comment ref="BH47" authorId="0" shapeId="0" xr:uid="{00000000-0006-0000-0F00-000026000000}">
      <text>
        <r>
          <rPr>
            <b/>
            <sz val="9"/>
            <color indexed="81"/>
            <rFont val="Tahoma"/>
            <family val="2"/>
          </rPr>
          <t>10% + 770</t>
        </r>
      </text>
    </comment>
    <comment ref="BI47" authorId="0" shapeId="0" xr:uid="{00000000-0006-0000-0F00-000027000000}">
      <text>
        <r>
          <rPr>
            <b/>
            <sz val="9"/>
            <color indexed="81"/>
            <rFont val="Tahoma"/>
            <family val="2"/>
          </rPr>
          <t>10% + 770</t>
        </r>
      </text>
    </comment>
    <comment ref="BJ47" authorId="0" shapeId="0" xr:uid="{00000000-0006-0000-0F00-000028000000}">
      <text>
        <r>
          <rPr>
            <b/>
            <sz val="9"/>
            <color indexed="81"/>
            <rFont val="Tahoma"/>
            <family val="2"/>
          </rPr>
          <t>10% + 770</t>
        </r>
      </text>
    </comment>
    <comment ref="BK47" authorId="0" shapeId="0" xr:uid="{00000000-0006-0000-0F00-000029000000}">
      <text>
        <r>
          <rPr>
            <b/>
            <sz val="9"/>
            <color indexed="81"/>
            <rFont val="Tahoma"/>
            <family val="2"/>
          </rPr>
          <t>10% + 770</t>
        </r>
      </text>
    </comment>
    <comment ref="BB48" authorId="0" shapeId="0" xr:uid="{00000000-0006-0000-0F00-00002A000000}">
      <text>
        <r>
          <rPr>
            <b/>
            <sz val="9"/>
            <color indexed="81"/>
            <rFont val="Tahoma"/>
            <family val="2"/>
          </rPr>
          <t>10% + 770</t>
        </r>
      </text>
    </comment>
    <comment ref="BC48" authorId="0" shapeId="0" xr:uid="{00000000-0006-0000-0F00-00002B000000}">
      <text>
        <r>
          <rPr>
            <b/>
            <sz val="9"/>
            <color indexed="81"/>
            <rFont val="Tahoma"/>
            <family val="2"/>
          </rPr>
          <t>10% + 770</t>
        </r>
      </text>
    </comment>
    <comment ref="BD48" authorId="0" shapeId="0" xr:uid="{00000000-0006-0000-0F00-00002C000000}">
      <text>
        <r>
          <rPr>
            <b/>
            <sz val="9"/>
            <color indexed="81"/>
            <rFont val="Tahoma"/>
            <family val="2"/>
          </rPr>
          <t>10% + 770</t>
        </r>
      </text>
    </comment>
    <comment ref="BE48" authorId="0" shapeId="0" xr:uid="{00000000-0006-0000-0F00-00002D000000}">
      <text>
        <r>
          <rPr>
            <b/>
            <sz val="9"/>
            <color indexed="81"/>
            <rFont val="Tahoma"/>
            <family val="2"/>
          </rPr>
          <t>10% + 770</t>
        </r>
      </text>
    </comment>
    <comment ref="BF48" authorId="0" shapeId="0" xr:uid="{00000000-0006-0000-0F00-00002E000000}">
      <text>
        <r>
          <rPr>
            <b/>
            <sz val="9"/>
            <color indexed="81"/>
            <rFont val="Tahoma"/>
            <family val="2"/>
          </rPr>
          <t>10% + 770</t>
        </r>
      </text>
    </comment>
    <comment ref="BG48" authorId="0" shapeId="0" xr:uid="{00000000-0006-0000-0F00-00002F000000}">
      <text>
        <r>
          <rPr>
            <b/>
            <sz val="9"/>
            <color indexed="81"/>
            <rFont val="Tahoma"/>
            <family val="2"/>
          </rPr>
          <t>10% + 770</t>
        </r>
      </text>
    </comment>
    <comment ref="BH48" authorId="0" shapeId="0" xr:uid="{00000000-0006-0000-0F00-000030000000}">
      <text>
        <r>
          <rPr>
            <b/>
            <sz val="9"/>
            <color indexed="81"/>
            <rFont val="Tahoma"/>
            <family val="2"/>
          </rPr>
          <t>10% + 770</t>
        </r>
      </text>
    </comment>
    <comment ref="BI48" authorId="0" shapeId="0" xr:uid="{00000000-0006-0000-0F00-000031000000}">
      <text>
        <r>
          <rPr>
            <b/>
            <sz val="9"/>
            <color indexed="81"/>
            <rFont val="Tahoma"/>
            <family val="2"/>
          </rPr>
          <t>10% + 770</t>
        </r>
      </text>
    </comment>
    <comment ref="BJ48" authorId="0" shapeId="0" xr:uid="{00000000-0006-0000-0F00-000032000000}">
      <text>
        <r>
          <rPr>
            <b/>
            <sz val="9"/>
            <color indexed="81"/>
            <rFont val="Tahoma"/>
            <family val="2"/>
          </rPr>
          <t>10% + 770</t>
        </r>
      </text>
    </comment>
    <comment ref="BK48" authorId="0" shapeId="0" xr:uid="{00000000-0006-0000-0F00-000033000000}">
      <text>
        <r>
          <rPr>
            <b/>
            <sz val="9"/>
            <color indexed="81"/>
            <rFont val="Tahoma"/>
            <family val="2"/>
          </rPr>
          <t>10% + 770</t>
        </r>
      </text>
    </comment>
    <comment ref="BB50" authorId="0" shapeId="0" xr:uid="{00000000-0006-0000-0F00-000034000000}">
      <text>
        <r>
          <rPr>
            <b/>
            <sz val="9"/>
            <color indexed="81"/>
            <rFont val="Tahoma"/>
            <family val="2"/>
          </rPr>
          <t>10% + 770</t>
        </r>
      </text>
    </comment>
    <comment ref="BC50" authorId="0" shapeId="0" xr:uid="{00000000-0006-0000-0F00-000035000000}">
      <text>
        <r>
          <rPr>
            <b/>
            <sz val="9"/>
            <color indexed="81"/>
            <rFont val="Tahoma"/>
            <family val="2"/>
          </rPr>
          <t>10% + 770</t>
        </r>
      </text>
    </comment>
    <comment ref="BD50" authorId="0" shapeId="0" xr:uid="{00000000-0006-0000-0F00-000036000000}">
      <text>
        <r>
          <rPr>
            <b/>
            <sz val="9"/>
            <color indexed="81"/>
            <rFont val="Tahoma"/>
            <family val="2"/>
          </rPr>
          <t>10% + 770</t>
        </r>
      </text>
    </comment>
    <comment ref="BE50" authorId="0" shapeId="0" xr:uid="{00000000-0006-0000-0F00-000037000000}">
      <text>
        <r>
          <rPr>
            <b/>
            <sz val="9"/>
            <color indexed="81"/>
            <rFont val="Tahoma"/>
            <family val="2"/>
          </rPr>
          <t>10% + 770</t>
        </r>
      </text>
    </comment>
    <comment ref="BF50" authorId="0" shapeId="0" xr:uid="{00000000-0006-0000-0F00-000038000000}">
      <text>
        <r>
          <rPr>
            <b/>
            <sz val="9"/>
            <color indexed="81"/>
            <rFont val="Tahoma"/>
            <family val="2"/>
          </rPr>
          <t>10% + 770</t>
        </r>
      </text>
    </comment>
    <comment ref="BG50" authorId="0" shapeId="0" xr:uid="{00000000-0006-0000-0F00-000039000000}">
      <text>
        <r>
          <rPr>
            <b/>
            <sz val="9"/>
            <color indexed="81"/>
            <rFont val="Tahoma"/>
            <family val="2"/>
          </rPr>
          <t>10% + 770</t>
        </r>
      </text>
    </comment>
    <comment ref="BH50" authorId="0" shapeId="0" xr:uid="{00000000-0006-0000-0F00-00003A000000}">
      <text>
        <r>
          <rPr>
            <b/>
            <sz val="9"/>
            <color indexed="81"/>
            <rFont val="Tahoma"/>
            <family val="2"/>
          </rPr>
          <t>10% + 770</t>
        </r>
      </text>
    </comment>
    <comment ref="BI50" authorId="0" shapeId="0" xr:uid="{00000000-0006-0000-0F00-00003B000000}">
      <text>
        <r>
          <rPr>
            <b/>
            <sz val="9"/>
            <color indexed="81"/>
            <rFont val="Tahoma"/>
            <family val="2"/>
          </rPr>
          <t>10% + 770</t>
        </r>
      </text>
    </comment>
    <comment ref="BJ50" authorId="0" shapeId="0" xr:uid="{00000000-0006-0000-0F00-00003C000000}">
      <text>
        <r>
          <rPr>
            <b/>
            <sz val="9"/>
            <color indexed="81"/>
            <rFont val="Tahoma"/>
            <family val="2"/>
          </rPr>
          <t>10% + 770</t>
        </r>
      </text>
    </comment>
    <comment ref="BK50" authorId="0" shapeId="0" xr:uid="{00000000-0006-0000-0F00-00003D000000}">
      <text>
        <r>
          <rPr>
            <b/>
            <sz val="9"/>
            <color indexed="81"/>
            <rFont val="Tahoma"/>
            <family val="2"/>
          </rPr>
          <t>10% + 770</t>
        </r>
      </text>
    </comment>
    <comment ref="BB54" authorId="0" shapeId="0" xr:uid="{00000000-0006-0000-0F00-00003E000000}">
      <text>
        <r>
          <rPr>
            <b/>
            <sz val="9"/>
            <color indexed="81"/>
            <rFont val="Tahoma"/>
            <family val="2"/>
          </rPr>
          <t>10% + 770</t>
        </r>
      </text>
    </comment>
    <comment ref="BC54" authorId="0" shapeId="0" xr:uid="{00000000-0006-0000-0F00-00003F000000}">
      <text>
        <r>
          <rPr>
            <b/>
            <sz val="9"/>
            <color indexed="81"/>
            <rFont val="Tahoma"/>
            <family val="2"/>
          </rPr>
          <t>10% + 770</t>
        </r>
      </text>
    </comment>
    <comment ref="BD54" authorId="0" shapeId="0" xr:uid="{00000000-0006-0000-0F00-000040000000}">
      <text>
        <r>
          <rPr>
            <b/>
            <sz val="9"/>
            <color indexed="81"/>
            <rFont val="Tahoma"/>
            <family val="2"/>
          </rPr>
          <t>10% + 770</t>
        </r>
      </text>
    </comment>
    <comment ref="BE54" authorId="0" shapeId="0" xr:uid="{00000000-0006-0000-0F00-000041000000}">
      <text>
        <r>
          <rPr>
            <b/>
            <sz val="9"/>
            <color indexed="81"/>
            <rFont val="Tahoma"/>
            <family val="2"/>
          </rPr>
          <t>10% + 770</t>
        </r>
      </text>
    </comment>
    <comment ref="BF54" authorId="0" shapeId="0" xr:uid="{00000000-0006-0000-0F00-000042000000}">
      <text>
        <r>
          <rPr>
            <b/>
            <sz val="9"/>
            <color indexed="81"/>
            <rFont val="Tahoma"/>
            <family val="2"/>
          </rPr>
          <t>10% + 770</t>
        </r>
      </text>
    </comment>
    <comment ref="BG54" authorId="0" shapeId="0" xr:uid="{00000000-0006-0000-0F00-000043000000}">
      <text>
        <r>
          <rPr>
            <b/>
            <sz val="9"/>
            <color indexed="81"/>
            <rFont val="Tahoma"/>
            <family val="2"/>
          </rPr>
          <t>10% + 770</t>
        </r>
      </text>
    </comment>
    <comment ref="BH54" authorId="0" shapeId="0" xr:uid="{00000000-0006-0000-0F00-000044000000}">
      <text>
        <r>
          <rPr>
            <b/>
            <sz val="9"/>
            <color indexed="81"/>
            <rFont val="Tahoma"/>
            <family val="2"/>
          </rPr>
          <t>10% + 770</t>
        </r>
      </text>
    </comment>
    <comment ref="BI54" authorId="0" shapeId="0" xr:uid="{00000000-0006-0000-0F00-000045000000}">
      <text>
        <r>
          <rPr>
            <b/>
            <sz val="9"/>
            <color indexed="81"/>
            <rFont val="Tahoma"/>
            <family val="2"/>
          </rPr>
          <t>10% + 770</t>
        </r>
      </text>
    </comment>
    <comment ref="BJ54" authorId="0" shapeId="0" xr:uid="{00000000-0006-0000-0F00-000046000000}">
      <text>
        <r>
          <rPr>
            <b/>
            <sz val="9"/>
            <color indexed="81"/>
            <rFont val="Tahoma"/>
            <family val="2"/>
          </rPr>
          <t>10% + 770</t>
        </r>
      </text>
    </comment>
    <comment ref="BK54" authorId="0" shapeId="0" xr:uid="{00000000-0006-0000-0F00-000047000000}">
      <text>
        <r>
          <rPr>
            <b/>
            <sz val="9"/>
            <color indexed="81"/>
            <rFont val="Tahoma"/>
            <family val="2"/>
          </rPr>
          <t>10% + 770</t>
        </r>
      </text>
    </comment>
    <comment ref="BB55" authorId="0" shapeId="0" xr:uid="{00000000-0006-0000-0F00-000048000000}">
      <text>
        <r>
          <rPr>
            <b/>
            <sz val="9"/>
            <color indexed="81"/>
            <rFont val="Tahoma"/>
            <family val="2"/>
          </rPr>
          <t>10% + 880</t>
        </r>
      </text>
    </comment>
    <comment ref="BC55" authorId="0" shapeId="0" xr:uid="{00000000-0006-0000-0F00-000049000000}">
      <text>
        <r>
          <rPr>
            <b/>
            <sz val="9"/>
            <color indexed="81"/>
            <rFont val="Tahoma"/>
            <family val="2"/>
          </rPr>
          <t>10% + 880</t>
        </r>
      </text>
    </comment>
    <comment ref="BD55" authorId="0" shapeId="0" xr:uid="{00000000-0006-0000-0F00-00004A000000}">
      <text>
        <r>
          <rPr>
            <b/>
            <sz val="9"/>
            <color indexed="81"/>
            <rFont val="Tahoma"/>
            <family val="2"/>
          </rPr>
          <t>10% + 880</t>
        </r>
      </text>
    </comment>
    <comment ref="BE55" authorId="0" shapeId="0" xr:uid="{00000000-0006-0000-0F00-00004B000000}">
      <text>
        <r>
          <rPr>
            <b/>
            <sz val="9"/>
            <color indexed="81"/>
            <rFont val="Tahoma"/>
            <family val="2"/>
          </rPr>
          <t>10% + 880</t>
        </r>
      </text>
    </comment>
    <comment ref="BF55" authorId="0" shapeId="0" xr:uid="{00000000-0006-0000-0F00-00004C000000}">
      <text>
        <r>
          <rPr>
            <b/>
            <sz val="9"/>
            <color indexed="81"/>
            <rFont val="Tahoma"/>
            <family val="2"/>
          </rPr>
          <t>10% + 880</t>
        </r>
      </text>
    </comment>
    <comment ref="BG55" authorId="0" shapeId="0" xr:uid="{00000000-0006-0000-0F00-00004D000000}">
      <text>
        <r>
          <rPr>
            <b/>
            <sz val="9"/>
            <color indexed="81"/>
            <rFont val="Tahoma"/>
            <family val="2"/>
          </rPr>
          <t>10% + 880</t>
        </r>
      </text>
    </comment>
    <comment ref="BH55" authorId="0" shapeId="0" xr:uid="{00000000-0006-0000-0F00-00004E000000}">
      <text>
        <r>
          <rPr>
            <b/>
            <sz val="9"/>
            <color indexed="81"/>
            <rFont val="Tahoma"/>
            <family val="2"/>
          </rPr>
          <t>10% + 880</t>
        </r>
      </text>
    </comment>
    <comment ref="BI55" authorId="0" shapeId="0" xr:uid="{00000000-0006-0000-0F00-00004F000000}">
      <text>
        <r>
          <rPr>
            <b/>
            <sz val="9"/>
            <color indexed="81"/>
            <rFont val="Tahoma"/>
            <family val="2"/>
          </rPr>
          <t>10% + 880</t>
        </r>
      </text>
    </comment>
    <comment ref="BJ55" authorId="0" shapeId="0" xr:uid="{00000000-0006-0000-0F00-000050000000}">
      <text>
        <r>
          <rPr>
            <b/>
            <sz val="9"/>
            <color indexed="81"/>
            <rFont val="Tahoma"/>
            <family val="2"/>
          </rPr>
          <t>10% + 880</t>
        </r>
      </text>
    </comment>
    <comment ref="BK55" authorId="0" shapeId="0" xr:uid="{00000000-0006-0000-0F00-000051000000}">
      <text>
        <r>
          <rPr>
            <b/>
            <sz val="9"/>
            <color indexed="81"/>
            <rFont val="Tahoma"/>
            <family val="2"/>
          </rPr>
          <t>10% + 880</t>
        </r>
      </text>
    </comment>
    <comment ref="BB56" authorId="0" shapeId="0" xr:uid="{00000000-0006-0000-0F00-000052000000}">
      <text>
        <r>
          <rPr>
            <b/>
            <sz val="9"/>
            <color indexed="81"/>
            <rFont val="Tahoma"/>
            <family val="2"/>
          </rPr>
          <t>10% + 880</t>
        </r>
      </text>
    </comment>
    <comment ref="BC56" authorId="0" shapeId="0" xr:uid="{00000000-0006-0000-0F00-000053000000}">
      <text>
        <r>
          <rPr>
            <b/>
            <sz val="9"/>
            <color indexed="81"/>
            <rFont val="Tahoma"/>
            <family val="2"/>
          </rPr>
          <t>10% + 880</t>
        </r>
      </text>
    </comment>
    <comment ref="BD56" authorId="0" shapeId="0" xr:uid="{00000000-0006-0000-0F00-000054000000}">
      <text>
        <r>
          <rPr>
            <b/>
            <sz val="9"/>
            <color indexed="81"/>
            <rFont val="Tahoma"/>
            <family val="2"/>
          </rPr>
          <t>10% + 880</t>
        </r>
      </text>
    </comment>
    <comment ref="BE56" authorId="0" shapeId="0" xr:uid="{00000000-0006-0000-0F00-000055000000}">
      <text>
        <r>
          <rPr>
            <b/>
            <sz val="9"/>
            <color indexed="81"/>
            <rFont val="Tahoma"/>
            <family val="2"/>
          </rPr>
          <t>10% + 880</t>
        </r>
      </text>
    </comment>
    <comment ref="BF56" authorId="0" shapeId="0" xr:uid="{00000000-0006-0000-0F00-000056000000}">
      <text>
        <r>
          <rPr>
            <b/>
            <sz val="9"/>
            <color indexed="81"/>
            <rFont val="Tahoma"/>
            <family val="2"/>
          </rPr>
          <t>10% + 880</t>
        </r>
      </text>
    </comment>
    <comment ref="BG56" authorId="0" shapeId="0" xr:uid="{00000000-0006-0000-0F00-000057000000}">
      <text>
        <r>
          <rPr>
            <b/>
            <sz val="9"/>
            <color indexed="81"/>
            <rFont val="Tahoma"/>
            <family val="2"/>
          </rPr>
          <t>10% + 880</t>
        </r>
      </text>
    </comment>
    <comment ref="BH56" authorId="0" shapeId="0" xr:uid="{00000000-0006-0000-0F00-000058000000}">
      <text>
        <r>
          <rPr>
            <b/>
            <sz val="9"/>
            <color indexed="81"/>
            <rFont val="Tahoma"/>
            <family val="2"/>
          </rPr>
          <t>10% + 880</t>
        </r>
      </text>
    </comment>
    <comment ref="BI56" authorId="0" shapeId="0" xr:uid="{00000000-0006-0000-0F00-000059000000}">
      <text>
        <r>
          <rPr>
            <b/>
            <sz val="9"/>
            <color indexed="81"/>
            <rFont val="Tahoma"/>
            <family val="2"/>
          </rPr>
          <t>10% + 880</t>
        </r>
      </text>
    </comment>
    <comment ref="BJ56" authorId="0" shapeId="0" xr:uid="{00000000-0006-0000-0F00-00005A000000}">
      <text>
        <r>
          <rPr>
            <b/>
            <sz val="9"/>
            <color indexed="81"/>
            <rFont val="Tahoma"/>
            <family val="2"/>
          </rPr>
          <t>10% + 880</t>
        </r>
      </text>
    </comment>
    <comment ref="BK56" authorId="0" shapeId="0" xr:uid="{00000000-0006-0000-0F00-00005B000000}">
      <text>
        <r>
          <rPr>
            <b/>
            <sz val="9"/>
            <color indexed="81"/>
            <rFont val="Tahoma"/>
            <family val="2"/>
          </rPr>
          <t>10% + 880</t>
        </r>
      </text>
    </comment>
    <comment ref="BB108" authorId="0" shapeId="0" xr:uid="{00000000-0006-0000-0F00-000066000000}">
      <text>
        <r>
          <rPr>
            <b/>
            <sz val="9"/>
            <color indexed="81"/>
            <rFont val="Tahoma"/>
            <family val="2"/>
          </rPr>
          <t>Department of Finance:</t>
        </r>
        <r>
          <rPr>
            <sz val="9"/>
            <color indexed="81"/>
            <rFont val="Tahoma"/>
            <family val="2"/>
          </rPr>
          <t xml:space="preserve">
10%+385</t>
        </r>
      </text>
    </comment>
    <comment ref="BC108" authorId="0" shapeId="0" xr:uid="{00000000-0006-0000-0F00-000067000000}">
      <text>
        <r>
          <rPr>
            <b/>
            <sz val="9"/>
            <color indexed="81"/>
            <rFont val="Tahoma"/>
            <family val="2"/>
          </rPr>
          <t>Department of Finance:</t>
        </r>
        <r>
          <rPr>
            <sz val="9"/>
            <color indexed="81"/>
            <rFont val="Tahoma"/>
            <family val="2"/>
          </rPr>
          <t xml:space="preserve">
10%+385</t>
        </r>
      </text>
    </comment>
    <comment ref="BD108" authorId="0" shapeId="0" xr:uid="{00000000-0006-0000-0F00-000068000000}">
      <text>
        <r>
          <rPr>
            <b/>
            <sz val="9"/>
            <color indexed="81"/>
            <rFont val="Tahoma"/>
            <family val="2"/>
          </rPr>
          <t>Department of Finance:</t>
        </r>
        <r>
          <rPr>
            <sz val="9"/>
            <color indexed="81"/>
            <rFont val="Tahoma"/>
            <family val="2"/>
          </rPr>
          <t xml:space="preserve">
10%+385</t>
        </r>
      </text>
    </comment>
    <comment ref="BE108" authorId="0" shapeId="0" xr:uid="{00000000-0006-0000-0F00-000069000000}">
      <text>
        <r>
          <rPr>
            <b/>
            <sz val="9"/>
            <color indexed="81"/>
            <rFont val="Tahoma"/>
            <family val="2"/>
          </rPr>
          <t>Department of Finance:</t>
        </r>
        <r>
          <rPr>
            <sz val="9"/>
            <color indexed="81"/>
            <rFont val="Tahoma"/>
            <family val="2"/>
          </rPr>
          <t xml:space="preserve">
10%+385</t>
        </r>
      </text>
    </comment>
    <comment ref="BF108" authorId="0" shapeId="0" xr:uid="{00000000-0006-0000-0F00-00006A000000}">
      <text>
        <r>
          <rPr>
            <b/>
            <sz val="9"/>
            <color indexed="81"/>
            <rFont val="Tahoma"/>
            <family val="2"/>
          </rPr>
          <t>Department of Finance:</t>
        </r>
        <r>
          <rPr>
            <sz val="9"/>
            <color indexed="81"/>
            <rFont val="Tahoma"/>
            <family val="2"/>
          </rPr>
          <t xml:space="preserve">
10%+385</t>
        </r>
      </text>
    </comment>
    <comment ref="BG108" authorId="0" shapeId="0" xr:uid="{00000000-0006-0000-0F00-00006B000000}">
      <text>
        <r>
          <rPr>
            <b/>
            <sz val="9"/>
            <color indexed="81"/>
            <rFont val="Tahoma"/>
            <family val="2"/>
          </rPr>
          <t>Department of Finance:</t>
        </r>
        <r>
          <rPr>
            <sz val="9"/>
            <color indexed="81"/>
            <rFont val="Tahoma"/>
            <family val="2"/>
          </rPr>
          <t xml:space="preserve">
10%+385</t>
        </r>
      </text>
    </comment>
    <comment ref="BH108" authorId="0" shapeId="0" xr:uid="{00000000-0006-0000-0F00-00006C000000}">
      <text>
        <r>
          <rPr>
            <b/>
            <sz val="9"/>
            <color indexed="81"/>
            <rFont val="Tahoma"/>
            <family val="2"/>
          </rPr>
          <t>Department of Finance:</t>
        </r>
        <r>
          <rPr>
            <sz val="9"/>
            <color indexed="81"/>
            <rFont val="Tahoma"/>
            <family val="2"/>
          </rPr>
          <t xml:space="preserve">
10%+385</t>
        </r>
      </text>
    </comment>
    <comment ref="BI108" authorId="0" shapeId="0" xr:uid="{00000000-0006-0000-0F00-00006D000000}">
      <text>
        <r>
          <rPr>
            <b/>
            <sz val="9"/>
            <color indexed="81"/>
            <rFont val="Tahoma"/>
            <family val="2"/>
          </rPr>
          <t>Department of Finance:</t>
        </r>
        <r>
          <rPr>
            <sz val="9"/>
            <color indexed="81"/>
            <rFont val="Tahoma"/>
            <family val="2"/>
          </rPr>
          <t xml:space="preserve">
10%+385</t>
        </r>
      </text>
    </comment>
    <comment ref="BJ108" authorId="0" shapeId="0" xr:uid="{00000000-0006-0000-0F00-00006E000000}">
      <text>
        <r>
          <rPr>
            <b/>
            <sz val="9"/>
            <color indexed="81"/>
            <rFont val="Tahoma"/>
            <family val="2"/>
          </rPr>
          <t>Department of Finance:</t>
        </r>
        <r>
          <rPr>
            <sz val="9"/>
            <color indexed="81"/>
            <rFont val="Tahoma"/>
            <family val="2"/>
          </rPr>
          <t xml:space="preserve">
10%+385</t>
        </r>
      </text>
    </comment>
    <comment ref="BK108" authorId="0" shapeId="0" xr:uid="{00000000-0006-0000-0F00-00006F000000}">
      <text>
        <r>
          <rPr>
            <b/>
            <sz val="9"/>
            <color indexed="81"/>
            <rFont val="Tahoma"/>
            <family val="2"/>
          </rPr>
          <t>Department of Finance:</t>
        </r>
        <r>
          <rPr>
            <sz val="9"/>
            <color indexed="81"/>
            <rFont val="Tahoma"/>
            <family val="2"/>
          </rPr>
          <t xml:space="preserve">
10%+385</t>
        </r>
      </text>
    </comment>
    <comment ref="BB110" authorId="0" shapeId="0" xr:uid="{00000000-0006-0000-0F00-00007A000000}">
      <text>
        <r>
          <rPr>
            <b/>
            <sz val="9"/>
            <color indexed="81"/>
            <rFont val="Tahoma"/>
            <family val="2"/>
          </rPr>
          <t>Department of Finance:</t>
        </r>
        <r>
          <rPr>
            <sz val="9"/>
            <color indexed="81"/>
            <rFont val="Tahoma"/>
            <family val="2"/>
          </rPr>
          <t xml:space="preserve">
10%+385</t>
        </r>
      </text>
    </comment>
    <comment ref="BC110" authorId="0" shapeId="0" xr:uid="{00000000-0006-0000-0F00-00007B000000}">
      <text>
        <r>
          <rPr>
            <b/>
            <sz val="9"/>
            <color indexed="81"/>
            <rFont val="Tahoma"/>
            <family val="2"/>
          </rPr>
          <t>Department of Finance:</t>
        </r>
        <r>
          <rPr>
            <sz val="9"/>
            <color indexed="81"/>
            <rFont val="Tahoma"/>
            <family val="2"/>
          </rPr>
          <t xml:space="preserve">
10%+385</t>
        </r>
      </text>
    </comment>
    <comment ref="BD110" authorId="0" shapeId="0" xr:uid="{00000000-0006-0000-0F00-00007C000000}">
      <text>
        <r>
          <rPr>
            <b/>
            <sz val="9"/>
            <color indexed="81"/>
            <rFont val="Tahoma"/>
            <family val="2"/>
          </rPr>
          <t>Department of Finance:</t>
        </r>
        <r>
          <rPr>
            <sz val="9"/>
            <color indexed="81"/>
            <rFont val="Tahoma"/>
            <family val="2"/>
          </rPr>
          <t xml:space="preserve">
10%+385</t>
        </r>
      </text>
    </comment>
    <comment ref="BE110" authorId="0" shapeId="0" xr:uid="{00000000-0006-0000-0F00-00007D000000}">
      <text>
        <r>
          <rPr>
            <b/>
            <sz val="9"/>
            <color indexed="81"/>
            <rFont val="Tahoma"/>
            <family val="2"/>
          </rPr>
          <t>Department of Finance:</t>
        </r>
        <r>
          <rPr>
            <sz val="9"/>
            <color indexed="81"/>
            <rFont val="Tahoma"/>
            <family val="2"/>
          </rPr>
          <t xml:space="preserve">
10%+385</t>
        </r>
      </text>
    </comment>
    <comment ref="BF110" authorId="0" shapeId="0" xr:uid="{00000000-0006-0000-0F00-00007E000000}">
      <text>
        <r>
          <rPr>
            <b/>
            <sz val="9"/>
            <color indexed="81"/>
            <rFont val="Tahoma"/>
            <family val="2"/>
          </rPr>
          <t>Department of Finance:</t>
        </r>
        <r>
          <rPr>
            <sz val="9"/>
            <color indexed="81"/>
            <rFont val="Tahoma"/>
            <family val="2"/>
          </rPr>
          <t xml:space="preserve">
10%+385</t>
        </r>
      </text>
    </comment>
    <comment ref="BG110" authorId="0" shapeId="0" xr:uid="{00000000-0006-0000-0F00-00007F000000}">
      <text>
        <r>
          <rPr>
            <b/>
            <sz val="9"/>
            <color indexed="81"/>
            <rFont val="Tahoma"/>
            <family val="2"/>
          </rPr>
          <t>Department of Finance:</t>
        </r>
        <r>
          <rPr>
            <sz val="9"/>
            <color indexed="81"/>
            <rFont val="Tahoma"/>
            <family val="2"/>
          </rPr>
          <t xml:space="preserve">
10%+385</t>
        </r>
      </text>
    </comment>
    <comment ref="BH110" authorId="0" shapeId="0" xr:uid="{00000000-0006-0000-0F00-000080000000}">
      <text>
        <r>
          <rPr>
            <b/>
            <sz val="9"/>
            <color indexed="81"/>
            <rFont val="Tahoma"/>
            <family val="2"/>
          </rPr>
          <t>Department of Finance:</t>
        </r>
        <r>
          <rPr>
            <sz val="9"/>
            <color indexed="81"/>
            <rFont val="Tahoma"/>
            <family val="2"/>
          </rPr>
          <t xml:space="preserve">
10%+385</t>
        </r>
      </text>
    </comment>
    <comment ref="BI110" authorId="0" shapeId="0" xr:uid="{00000000-0006-0000-0F00-000081000000}">
      <text>
        <r>
          <rPr>
            <b/>
            <sz val="9"/>
            <color indexed="81"/>
            <rFont val="Tahoma"/>
            <family val="2"/>
          </rPr>
          <t>Department of Finance:</t>
        </r>
        <r>
          <rPr>
            <sz val="9"/>
            <color indexed="81"/>
            <rFont val="Tahoma"/>
            <family val="2"/>
          </rPr>
          <t xml:space="preserve">
10%+385</t>
        </r>
      </text>
    </comment>
    <comment ref="BJ110" authorId="0" shapeId="0" xr:uid="{00000000-0006-0000-0F00-000082000000}">
      <text>
        <r>
          <rPr>
            <b/>
            <sz val="9"/>
            <color indexed="81"/>
            <rFont val="Tahoma"/>
            <family val="2"/>
          </rPr>
          <t>Department of Finance:</t>
        </r>
        <r>
          <rPr>
            <sz val="9"/>
            <color indexed="81"/>
            <rFont val="Tahoma"/>
            <family val="2"/>
          </rPr>
          <t xml:space="preserve">
10%+385</t>
        </r>
      </text>
    </comment>
    <comment ref="BK110" authorId="0" shapeId="0" xr:uid="{00000000-0006-0000-0F00-000083000000}">
      <text>
        <r>
          <rPr>
            <b/>
            <sz val="9"/>
            <color indexed="81"/>
            <rFont val="Tahoma"/>
            <family val="2"/>
          </rPr>
          <t>Department of Finance:</t>
        </r>
        <r>
          <rPr>
            <sz val="9"/>
            <color indexed="81"/>
            <rFont val="Tahoma"/>
            <family val="2"/>
          </rPr>
          <t xml:space="preserve">
10%+385</t>
        </r>
      </text>
    </comment>
    <comment ref="BB111" authorId="0" shapeId="0" xr:uid="{00000000-0006-0000-0F00-000084000000}">
      <text>
        <r>
          <rPr>
            <b/>
            <sz val="9"/>
            <color indexed="81"/>
            <rFont val="Tahoma"/>
            <family val="2"/>
          </rPr>
          <t>Department of Finance:</t>
        </r>
        <r>
          <rPr>
            <sz val="9"/>
            <color indexed="81"/>
            <rFont val="Tahoma"/>
            <family val="2"/>
          </rPr>
          <t xml:space="preserve">
10%+385</t>
        </r>
      </text>
    </comment>
    <comment ref="BC111" authorId="0" shapeId="0" xr:uid="{00000000-0006-0000-0F00-000085000000}">
      <text>
        <r>
          <rPr>
            <b/>
            <sz val="9"/>
            <color indexed="81"/>
            <rFont val="Tahoma"/>
            <family val="2"/>
          </rPr>
          <t>Department of Finance:</t>
        </r>
        <r>
          <rPr>
            <sz val="9"/>
            <color indexed="81"/>
            <rFont val="Tahoma"/>
            <family val="2"/>
          </rPr>
          <t xml:space="preserve">
10%+385</t>
        </r>
      </text>
    </comment>
    <comment ref="BD111" authorId="0" shapeId="0" xr:uid="{00000000-0006-0000-0F00-000086000000}">
      <text>
        <r>
          <rPr>
            <b/>
            <sz val="9"/>
            <color indexed="81"/>
            <rFont val="Tahoma"/>
            <family val="2"/>
          </rPr>
          <t>Department of Finance:</t>
        </r>
        <r>
          <rPr>
            <sz val="9"/>
            <color indexed="81"/>
            <rFont val="Tahoma"/>
            <family val="2"/>
          </rPr>
          <t xml:space="preserve">
10%+385</t>
        </r>
      </text>
    </comment>
    <comment ref="BE111" authorId="0" shapeId="0" xr:uid="{00000000-0006-0000-0F00-000087000000}">
      <text>
        <r>
          <rPr>
            <b/>
            <sz val="9"/>
            <color indexed="81"/>
            <rFont val="Tahoma"/>
            <family val="2"/>
          </rPr>
          <t>Department of Finance:</t>
        </r>
        <r>
          <rPr>
            <sz val="9"/>
            <color indexed="81"/>
            <rFont val="Tahoma"/>
            <family val="2"/>
          </rPr>
          <t xml:space="preserve">
10%+385</t>
        </r>
      </text>
    </comment>
    <comment ref="BF111" authorId="0" shapeId="0" xr:uid="{00000000-0006-0000-0F00-000088000000}">
      <text>
        <r>
          <rPr>
            <b/>
            <sz val="9"/>
            <color indexed="81"/>
            <rFont val="Tahoma"/>
            <family val="2"/>
          </rPr>
          <t>Department of Finance:</t>
        </r>
        <r>
          <rPr>
            <sz val="9"/>
            <color indexed="81"/>
            <rFont val="Tahoma"/>
            <family val="2"/>
          </rPr>
          <t xml:space="preserve">
10%+385</t>
        </r>
      </text>
    </comment>
    <comment ref="BG111" authorId="0" shapeId="0" xr:uid="{00000000-0006-0000-0F00-000089000000}">
      <text>
        <r>
          <rPr>
            <b/>
            <sz val="9"/>
            <color indexed="81"/>
            <rFont val="Tahoma"/>
            <family val="2"/>
          </rPr>
          <t>Department of Finance:</t>
        </r>
        <r>
          <rPr>
            <sz val="9"/>
            <color indexed="81"/>
            <rFont val="Tahoma"/>
            <family val="2"/>
          </rPr>
          <t xml:space="preserve">
10%+385</t>
        </r>
      </text>
    </comment>
    <comment ref="BH111" authorId="0" shapeId="0" xr:uid="{00000000-0006-0000-0F00-00008A000000}">
      <text>
        <r>
          <rPr>
            <b/>
            <sz val="9"/>
            <color indexed="81"/>
            <rFont val="Tahoma"/>
            <family val="2"/>
          </rPr>
          <t>Department of Finance:</t>
        </r>
        <r>
          <rPr>
            <sz val="9"/>
            <color indexed="81"/>
            <rFont val="Tahoma"/>
            <family val="2"/>
          </rPr>
          <t xml:space="preserve">
10%+385</t>
        </r>
      </text>
    </comment>
    <comment ref="BI111" authorId="0" shapeId="0" xr:uid="{00000000-0006-0000-0F00-00008B000000}">
      <text>
        <r>
          <rPr>
            <b/>
            <sz val="9"/>
            <color indexed="81"/>
            <rFont val="Tahoma"/>
            <family val="2"/>
          </rPr>
          <t>Department of Finance:</t>
        </r>
        <r>
          <rPr>
            <sz val="9"/>
            <color indexed="81"/>
            <rFont val="Tahoma"/>
            <family val="2"/>
          </rPr>
          <t xml:space="preserve">
10%+385</t>
        </r>
      </text>
    </comment>
    <comment ref="BJ111" authorId="0" shapeId="0" xr:uid="{00000000-0006-0000-0F00-00008C000000}">
      <text>
        <r>
          <rPr>
            <b/>
            <sz val="9"/>
            <color indexed="81"/>
            <rFont val="Tahoma"/>
            <family val="2"/>
          </rPr>
          <t>Department of Finance:</t>
        </r>
        <r>
          <rPr>
            <sz val="9"/>
            <color indexed="81"/>
            <rFont val="Tahoma"/>
            <family val="2"/>
          </rPr>
          <t xml:space="preserve">
10%+385</t>
        </r>
      </text>
    </comment>
    <comment ref="BK111" authorId="0" shapeId="0" xr:uid="{00000000-0006-0000-0F00-00008D000000}">
      <text>
        <r>
          <rPr>
            <b/>
            <sz val="9"/>
            <color indexed="81"/>
            <rFont val="Tahoma"/>
            <family val="2"/>
          </rPr>
          <t>Department of Finance:</t>
        </r>
        <r>
          <rPr>
            <sz val="9"/>
            <color indexed="81"/>
            <rFont val="Tahoma"/>
            <family val="2"/>
          </rPr>
          <t xml:space="preserve">
10%+385</t>
        </r>
      </text>
    </comment>
    <comment ref="BB124" authorId="0" shapeId="0" xr:uid="{00000000-0006-0000-0F00-00008E000000}">
      <text>
        <r>
          <rPr>
            <b/>
            <sz val="9"/>
            <color indexed="81"/>
            <rFont val="Tahoma"/>
            <family val="2"/>
          </rPr>
          <t>Department of Finance:</t>
        </r>
        <r>
          <rPr>
            <sz val="9"/>
            <color indexed="81"/>
            <rFont val="Tahoma"/>
            <family val="2"/>
          </rPr>
          <t xml:space="preserve">
10%+462</t>
        </r>
      </text>
    </comment>
    <comment ref="BC124" authorId="0" shapeId="0" xr:uid="{00000000-0006-0000-0F00-00008F000000}">
      <text>
        <r>
          <rPr>
            <b/>
            <sz val="9"/>
            <color indexed="81"/>
            <rFont val="Tahoma"/>
            <family val="2"/>
          </rPr>
          <t>Department of Finance:</t>
        </r>
        <r>
          <rPr>
            <sz val="9"/>
            <color indexed="81"/>
            <rFont val="Tahoma"/>
            <family val="2"/>
          </rPr>
          <t xml:space="preserve">
10%+462</t>
        </r>
      </text>
    </comment>
    <comment ref="BD124" authorId="0" shapeId="0" xr:uid="{00000000-0006-0000-0F00-000090000000}">
      <text>
        <r>
          <rPr>
            <b/>
            <sz val="9"/>
            <color indexed="81"/>
            <rFont val="Tahoma"/>
            <family val="2"/>
          </rPr>
          <t>Department of Finance:</t>
        </r>
        <r>
          <rPr>
            <sz val="9"/>
            <color indexed="81"/>
            <rFont val="Tahoma"/>
            <family val="2"/>
          </rPr>
          <t xml:space="preserve">
10%+462</t>
        </r>
      </text>
    </comment>
    <comment ref="BE124" authorId="0" shapeId="0" xr:uid="{00000000-0006-0000-0F00-000091000000}">
      <text>
        <r>
          <rPr>
            <b/>
            <sz val="9"/>
            <color indexed="81"/>
            <rFont val="Tahoma"/>
            <family val="2"/>
          </rPr>
          <t>Department of Finance:</t>
        </r>
        <r>
          <rPr>
            <sz val="9"/>
            <color indexed="81"/>
            <rFont val="Tahoma"/>
            <family val="2"/>
          </rPr>
          <t xml:space="preserve">
10%+462</t>
        </r>
      </text>
    </comment>
    <comment ref="BF124" authorId="0" shapeId="0" xr:uid="{00000000-0006-0000-0F00-000092000000}">
      <text>
        <r>
          <rPr>
            <b/>
            <sz val="9"/>
            <color indexed="81"/>
            <rFont val="Tahoma"/>
            <family val="2"/>
          </rPr>
          <t>Department of Finance:</t>
        </r>
        <r>
          <rPr>
            <sz val="9"/>
            <color indexed="81"/>
            <rFont val="Tahoma"/>
            <family val="2"/>
          </rPr>
          <t xml:space="preserve">
10%+462</t>
        </r>
      </text>
    </comment>
    <comment ref="BG124" authorId="0" shapeId="0" xr:uid="{00000000-0006-0000-0F00-000093000000}">
      <text>
        <r>
          <rPr>
            <b/>
            <sz val="9"/>
            <color indexed="81"/>
            <rFont val="Tahoma"/>
            <family val="2"/>
          </rPr>
          <t>Department of Finance:</t>
        </r>
        <r>
          <rPr>
            <sz val="9"/>
            <color indexed="81"/>
            <rFont val="Tahoma"/>
            <family val="2"/>
          </rPr>
          <t xml:space="preserve">
10%+462</t>
        </r>
      </text>
    </comment>
    <comment ref="BH124" authorId="0" shapeId="0" xr:uid="{00000000-0006-0000-0F00-000094000000}">
      <text>
        <r>
          <rPr>
            <b/>
            <sz val="9"/>
            <color indexed="81"/>
            <rFont val="Tahoma"/>
            <family val="2"/>
          </rPr>
          <t>Department of Finance:</t>
        </r>
        <r>
          <rPr>
            <sz val="9"/>
            <color indexed="81"/>
            <rFont val="Tahoma"/>
            <family val="2"/>
          </rPr>
          <t xml:space="preserve">
10%+462</t>
        </r>
      </text>
    </comment>
    <comment ref="BI124" authorId="0" shapeId="0" xr:uid="{00000000-0006-0000-0F00-000095000000}">
      <text>
        <r>
          <rPr>
            <b/>
            <sz val="9"/>
            <color indexed="81"/>
            <rFont val="Tahoma"/>
            <family val="2"/>
          </rPr>
          <t>Department of Finance:</t>
        </r>
        <r>
          <rPr>
            <sz val="9"/>
            <color indexed="81"/>
            <rFont val="Tahoma"/>
            <family val="2"/>
          </rPr>
          <t xml:space="preserve">
10%+462</t>
        </r>
      </text>
    </comment>
    <comment ref="BJ124" authorId="0" shapeId="0" xr:uid="{00000000-0006-0000-0F00-000096000000}">
      <text>
        <r>
          <rPr>
            <b/>
            <sz val="9"/>
            <color indexed="81"/>
            <rFont val="Tahoma"/>
            <family val="2"/>
          </rPr>
          <t>Department of Finance:</t>
        </r>
        <r>
          <rPr>
            <sz val="9"/>
            <color indexed="81"/>
            <rFont val="Tahoma"/>
            <family val="2"/>
          </rPr>
          <t xml:space="preserve">
10%+462</t>
        </r>
      </text>
    </comment>
    <comment ref="BK124" authorId="0" shapeId="0" xr:uid="{00000000-0006-0000-0F00-000097000000}">
      <text>
        <r>
          <rPr>
            <b/>
            <sz val="9"/>
            <color indexed="81"/>
            <rFont val="Tahoma"/>
            <family val="2"/>
          </rPr>
          <t>Department of Finance:</t>
        </r>
        <r>
          <rPr>
            <sz val="9"/>
            <color indexed="81"/>
            <rFont val="Tahoma"/>
            <family val="2"/>
          </rPr>
          <t xml:space="preserve">
10%+462</t>
        </r>
      </text>
    </comment>
    <comment ref="BB125" authorId="0" shapeId="0" xr:uid="{00000000-0006-0000-0F00-000098000000}">
      <text>
        <r>
          <rPr>
            <b/>
            <sz val="9"/>
            <color indexed="81"/>
            <rFont val="Tahoma"/>
            <family val="2"/>
          </rPr>
          <t>Department of Finance:</t>
        </r>
        <r>
          <rPr>
            <sz val="9"/>
            <color indexed="81"/>
            <rFont val="Tahoma"/>
            <family val="2"/>
          </rPr>
          <t xml:space="preserve">
10%+462</t>
        </r>
      </text>
    </comment>
    <comment ref="BC125" authorId="0" shapeId="0" xr:uid="{00000000-0006-0000-0F00-000099000000}">
      <text>
        <r>
          <rPr>
            <b/>
            <sz val="9"/>
            <color indexed="81"/>
            <rFont val="Tahoma"/>
            <family val="2"/>
          </rPr>
          <t>Department of Finance:</t>
        </r>
        <r>
          <rPr>
            <sz val="9"/>
            <color indexed="81"/>
            <rFont val="Tahoma"/>
            <family val="2"/>
          </rPr>
          <t xml:space="preserve">
10%+462</t>
        </r>
      </text>
    </comment>
    <comment ref="BD125" authorId="0" shapeId="0" xr:uid="{00000000-0006-0000-0F00-00009A000000}">
      <text>
        <r>
          <rPr>
            <b/>
            <sz val="9"/>
            <color indexed="81"/>
            <rFont val="Tahoma"/>
            <family val="2"/>
          </rPr>
          <t>Department of Finance:</t>
        </r>
        <r>
          <rPr>
            <sz val="9"/>
            <color indexed="81"/>
            <rFont val="Tahoma"/>
            <family val="2"/>
          </rPr>
          <t xml:space="preserve">
10%+462</t>
        </r>
      </text>
    </comment>
    <comment ref="BE125" authorId="0" shapeId="0" xr:uid="{00000000-0006-0000-0F00-00009B000000}">
      <text>
        <r>
          <rPr>
            <b/>
            <sz val="9"/>
            <color indexed="81"/>
            <rFont val="Tahoma"/>
            <family val="2"/>
          </rPr>
          <t>Department of Finance:</t>
        </r>
        <r>
          <rPr>
            <sz val="9"/>
            <color indexed="81"/>
            <rFont val="Tahoma"/>
            <family val="2"/>
          </rPr>
          <t xml:space="preserve">
10%+462</t>
        </r>
      </text>
    </comment>
    <comment ref="BF125" authorId="0" shapeId="0" xr:uid="{00000000-0006-0000-0F00-00009C000000}">
      <text>
        <r>
          <rPr>
            <b/>
            <sz val="9"/>
            <color indexed="81"/>
            <rFont val="Tahoma"/>
            <family val="2"/>
          </rPr>
          <t>Department of Finance:</t>
        </r>
        <r>
          <rPr>
            <sz val="9"/>
            <color indexed="81"/>
            <rFont val="Tahoma"/>
            <family val="2"/>
          </rPr>
          <t xml:space="preserve">
10%+462</t>
        </r>
      </text>
    </comment>
    <comment ref="BG125" authorId="0" shapeId="0" xr:uid="{00000000-0006-0000-0F00-00009D000000}">
      <text>
        <r>
          <rPr>
            <b/>
            <sz val="9"/>
            <color indexed="81"/>
            <rFont val="Tahoma"/>
            <family val="2"/>
          </rPr>
          <t>Department of Finance:</t>
        </r>
        <r>
          <rPr>
            <sz val="9"/>
            <color indexed="81"/>
            <rFont val="Tahoma"/>
            <family val="2"/>
          </rPr>
          <t xml:space="preserve">
10%+462</t>
        </r>
      </text>
    </comment>
    <comment ref="BH125" authorId="0" shapeId="0" xr:uid="{00000000-0006-0000-0F00-00009E000000}">
      <text>
        <r>
          <rPr>
            <b/>
            <sz val="9"/>
            <color indexed="81"/>
            <rFont val="Tahoma"/>
            <family val="2"/>
          </rPr>
          <t>Department of Finance:</t>
        </r>
        <r>
          <rPr>
            <sz val="9"/>
            <color indexed="81"/>
            <rFont val="Tahoma"/>
            <family val="2"/>
          </rPr>
          <t xml:space="preserve">
10%+462</t>
        </r>
      </text>
    </comment>
    <comment ref="BI125" authorId="0" shapeId="0" xr:uid="{00000000-0006-0000-0F00-00009F000000}">
      <text>
        <r>
          <rPr>
            <b/>
            <sz val="9"/>
            <color indexed="81"/>
            <rFont val="Tahoma"/>
            <family val="2"/>
          </rPr>
          <t>Department of Finance:</t>
        </r>
        <r>
          <rPr>
            <sz val="9"/>
            <color indexed="81"/>
            <rFont val="Tahoma"/>
            <family val="2"/>
          </rPr>
          <t xml:space="preserve">
10%+462</t>
        </r>
      </text>
    </comment>
    <comment ref="BJ125" authorId="0" shapeId="0" xr:uid="{00000000-0006-0000-0F00-0000A0000000}">
      <text>
        <r>
          <rPr>
            <b/>
            <sz val="9"/>
            <color indexed="81"/>
            <rFont val="Tahoma"/>
            <family val="2"/>
          </rPr>
          <t>Department of Finance:</t>
        </r>
        <r>
          <rPr>
            <sz val="9"/>
            <color indexed="81"/>
            <rFont val="Tahoma"/>
            <family val="2"/>
          </rPr>
          <t xml:space="preserve">
10%+462</t>
        </r>
      </text>
    </comment>
    <comment ref="BK125" authorId="0" shapeId="0" xr:uid="{00000000-0006-0000-0F00-0000A1000000}">
      <text>
        <r>
          <rPr>
            <b/>
            <sz val="9"/>
            <color indexed="81"/>
            <rFont val="Tahoma"/>
            <family val="2"/>
          </rPr>
          <t>Department of Finance:</t>
        </r>
        <r>
          <rPr>
            <sz val="9"/>
            <color indexed="81"/>
            <rFont val="Tahoma"/>
            <family val="2"/>
          </rPr>
          <t xml:space="preserve">
10%+462</t>
        </r>
      </text>
    </comment>
    <comment ref="BB128" authorId="0" shapeId="0" xr:uid="{00000000-0006-0000-0F00-0000AC000000}">
      <text>
        <r>
          <rPr>
            <b/>
            <sz val="9"/>
            <color indexed="81"/>
            <rFont val="Tahoma"/>
            <family val="2"/>
          </rPr>
          <t>Department of Finance:</t>
        </r>
        <r>
          <rPr>
            <sz val="9"/>
            <color indexed="81"/>
            <rFont val="Tahoma"/>
            <family val="2"/>
          </rPr>
          <t xml:space="preserve">
10%+462</t>
        </r>
      </text>
    </comment>
    <comment ref="BC128" authorId="0" shapeId="0" xr:uid="{00000000-0006-0000-0F00-0000AD000000}">
      <text>
        <r>
          <rPr>
            <b/>
            <sz val="9"/>
            <color indexed="81"/>
            <rFont val="Tahoma"/>
            <family val="2"/>
          </rPr>
          <t>Department of Finance:</t>
        </r>
        <r>
          <rPr>
            <sz val="9"/>
            <color indexed="81"/>
            <rFont val="Tahoma"/>
            <family val="2"/>
          </rPr>
          <t xml:space="preserve">
10%+462</t>
        </r>
      </text>
    </comment>
    <comment ref="BD128" authorId="0" shapeId="0" xr:uid="{00000000-0006-0000-0F00-0000AE000000}">
      <text>
        <r>
          <rPr>
            <b/>
            <sz val="9"/>
            <color indexed="81"/>
            <rFont val="Tahoma"/>
            <family val="2"/>
          </rPr>
          <t>Department of Finance:</t>
        </r>
        <r>
          <rPr>
            <sz val="9"/>
            <color indexed="81"/>
            <rFont val="Tahoma"/>
            <family val="2"/>
          </rPr>
          <t xml:space="preserve">
10%+462</t>
        </r>
      </text>
    </comment>
    <comment ref="BE128" authorId="0" shapeId="0" xr:uid="{00000000-0006-0000-0F00-0000AF000000}">
      <text>
        <r>
          <rPr>
            <b/>
            <sz val="9"/>
            <color indexed="81"/>
            <rFont val="Tahoma"/>
            <family val="2"/>
          </rPr>
          <t>Department of Finance:</t>
        </r>
        <r>
          <rPr>
            <sz val="9"/>
            <color indexed="81"/>
            <rFont val="Tahoma"/>
            <family val="2"/>
          </rPr>
          <t xml:space="preserve">
10%+462</t>
        </r>
      </text>
    </comment>
    <comment ref="BF128" authorId="0" shapeId="0" xr:uid="{00000000-0006-0000-0F00-0000B0000000}">
      <text>
        <r>
          <rPr>
            <b/>
            <sz val="9"/>
            <color indexed="81"/>
            <rFont val="Tahoma"/>
            <family val="2"/>
          </rPr>
          <t>Department of Finance:</t>
        </r>
        <r>
          <rPr>
            <sz val="9"/>
            <color indexed="81"/>
            <rFont val="Tahoma"/>
            <family val="2"/>
          </rPr>
          <t xml:space="preserve">
10%+462</t>
        </r>
      </text>
    </comment>
    <comment ref="BG128" authorId="0" shapeId="0" xr:uid="{00000000-0006-0000-0F00-0000B1000000}">
      <text>
        <r>
          <rPr>
            <b/>
            <sz val="9"/>
            <color indexed="81"/>
            <rFont val="Tahoma"/>
            <family val="2"/>
          </rPr>
          <t>Department of Finance:</t>
        </r>
        <r>
          <rPr>
            <sz val="9"/>
            <color indexed="81"/>
            <rFont val="Tahoma"/>
            <family val="2"/>
          </rPr>
          <t xml:space="preserve">
10%+462</t>
        </r>
      </text>
    </comment>
    <comment ref="BH128" authorId="0" shapeId="0" xr:uid="{00000000-0006-0000-0F00-0000B2000000}">
      <text>
        <r>
          <rPr>
            <b/>
            <sz val="9"/>
            <color indexed="81"/>
            <rFont val="Tahoma"/>
            <family val="2"/>
          </rPr>
          <t>Department of Finance:</t>
        </r>
        <r>
          <rPr>
            <sz val="9"/>
            <color indexed="81"/>
            <rFont val="Tahoma"/>
            <family val="2"/>
          </rPr>
          <t xml:space="preserve">
10%+462</t>
        </r>
      </text>
    </comment>
    <comment ref="BI128" authorId="0" shapeId="0" xr:uid="{00000000-0006-0000-0F00-0000B3000000}">
      <text>
        <r>
          <rPr>
            <b/>
            <sz val="9"/>
            <color indexed="81"/>
            <rFont val="Tahoma"/>
            <family val="2"/>
          </rPr>
          <t>Department of Finance:</t>
        </r>
        <r>
          <rPr>
            <sz val="9"/>
            <color indexed="81"/>
            <rFont val="Tahoma"/>
            <family val="2"/>
          </rPr>
          <t xml:space="preserve">
10%+462</t>
        </r>
      </text>
    </comment>
    <comment ref="BJ128" authorId="0" shapeId="0" xr:uid="{00000000-0006-0000-0F00-0000B4000000}">
      <text>
        <r>
          <rPr>
            <b/>
            <sz val="9"/>
            <color indexed="81"/>
            <rFont val="Tahoma"/>
            <family val="2"/>
          </rPr>
          <t>Department of Finance:</t>
        </r>
        <r>
          <rPr>
            <sz val="9"/>
            <color indexed="81"/>
            <rFont val="Tahoma"/>
            <family val="2"/>
          </rPr>
          <t xml:space="preserve">
10%+462</t>
        </r>
      </text>
    </comment>
    <comment ref="BK128" authorId="0" shapeId="0" xr:uid="{00000000-0006-0000-0F00-0000B5000000}">
      <text>
        <r>
          <rPr>
            <b/>
            <sz val="9"/>
            <color indexed="81"/>
            <rFont val="Tahoma"/>
            <family val="2"/>
          </rPr>
          <t>Department of Finance:</t>
        </r>
        <r>
          <rPr>
            <sz val="9"/>
            <color indexed="81"/>
            <rFont val="Tahoma"/>
            <family val="2"/>
          </rPr>
          <t xml:space="preserve">
10%+462</t>
        </r>
      </text>
    </comment>
    <comment ref="BB129" authorId="0" shapeId="0" xr:uid="{00000000-0006-0000-0F00-0000B6000000}">
      <text>
        <r>
          <rPr>
            <b/>
            <sz val="9"/>
            <color indexed="81"/>
            <rFont val="Tahoma"/>
            <family val="2"/>
          </rPr>
          <t>Department of Finance:</t>
        </r>
        <r>
          <rPr>
            <sz val="9"/>
            <color indexed="81"/>
            <rFont val="Tahoma"/>
            <family val="2"/>
          </rPr>
          <t xml:space="preserve">
10%+1091</t>
        </r>
      </text>
    </comment>
    <comment ref="BC129" authorId="0" shapeId="0" xr:uid="{00000000-0006-0000-0F00-0000B7000000}">
      <text>
        <r>
          <rPr>
            <b/>
            <sz val="9"/>
            <color indexed="81"/>
            <rFont val="Tahoma"/>
            <family val="2"/>
          </rPr>
          <t>Department of Finance:</t>
        </r>
        <r>
          <rPr>
            <sz val="9"/>
            <color indexed="81"/>
            <rFont val="Tahoma"/>
            <family val="2"/>
          </rPr>
          <t xml:space="preserve">
10%+1091</t>
        </r>
      </text>
    </comment>
    <comment ref="BD129" authorId="0" shapeId="0" xr:uid="{00000000-0006-0000-0F00-0000B8000000}">
      <text>
        <r>
          <rPr>
            <b/>
            <sz val="9"/>
            <color indexed="81"/>
            <rFont val="Tahoma"/>
            <family val="2"/>
          </rPr>
          <t>Department of Finance:</t>
        </r>
        <r>
          <rPr>
            <sz val="9"/>
            <color indexed="81"/>
            <rFont val="Tahoma"/>
            <family val="2"/>
          </rPr>
          <t xml:space="preserve">
10%+1091</t>
        </r>
      </text>
    </comment>
    <comment ref="BE129" authorId="0" shapeId="0" xr:uid="{00000000-0006-0000-0F00-0000B9000000}">
      <text>
        <r>
          <rPr>
            <b/>
            <sz val="9"/>
            <color indexed="81"/>
            <rFont val="Tahoma"/>
            <family val="2"/>
          </rPr>
          <t>Department of Finance:</t>
        </r>
        <r>
          <rPr>
            <sz val="9"/>
            <color indexed="81"/>
            <rFont val="Tahoma"/>
            <family val="2"/>
          </rPr>
          <t xml:space="preserve">
10%+1091</t>
        </r>
      </text>
    </comment>
    <comment ref="BF129" authorId="0" shapeId="0" xr:uid="{00000000-0006-0000-0F00-0000BA000000}">
      <text>
        <r>
          <rPr>
            <b/>
            <sz val="9"/>
            <color indexed="81"/>
            <rFont val="Tahoma"/>
            <family val="2"/>
          </rPr>
          <t>Department of Finance:</t>
        </r>
        <r>
          <rPr>
            <sz val="9"/>
            <color indexed="81"/>
            <rFont val="Tahoma"/>
            <family val="2"/>
          </rPr>
          <t xml:space="preserve">
10%+1091</t>
        </r>
      </text>
    </comment>
    <comment ref="BG129" authorId="0" shapeId="0" xr:uid="{00000000-0006-0000-0F00-0000BB000000}">
      <text>
        <r>
          <rPr>
            <b/>
            <sz val="9"/>
            <color indexed="81"/>
            <rFont val="Tahoma"/>
            <family val="2"/>
          </rPr>
          <t>Department of Finance:</t>
        </r>
        <r>
          <rPr>
            <sz val="9"/>
            <color indexed="81"/>
            <rFont val="Tahoma"/>
            <family val="2"/>
          </rPr>
          <t xml:space="preserve">
10%+1091</t>
        </r>
      </text>
    </comment>
    <comment ref="BH129" authorId="0" shapeId="0" xr:uid="{00000000-0006-0000-0F00-0000BC000000}">
      <text>
        <r>
          <rPr>
            <b/>
            <sz val="9"/>
            <color indexed="81"/>
            <rFont val="Tahoma"/>
            <family val="2"/>
          </rPr>
          <t>Department of Finance:</t>
        </r>
        <r>
          <rPr>
            <sz val="9"/>
            <color indexed="81"/>
            <rFont val="Tahoma"/>
            <family val="2"/>
          </rPr>
          <t xml:space="preserve">
10%+1091</t>
        </r>
      </text>
    </comment>
    <comment ref="BI129" authorId="0" shapeId="0" xr:uid="{00000000-0006-0000-0F00-0000BD000000}">
      <text>
        <r>
          <rPr>
            <b/>
            <sz val="9"/>
            <color indexed="81"/>
            <rFont val="Tahoma"/>
            <family val="2"/>
          </rPr>
          <t>Department of Finance:</t>
        </r>
        <r>
          <rPr>
            <sz val="9"/>
            <color indexed="81"/>
            <rFont val="Tahoma"/>
            <family val="2"/>
          </rPr>
          <t xml:space="preserve">
10%+1091</t>
        </r>
      </text>
    </comment>
    <comment ref="BJ129" authorId="0" shapeId="0" xr:uid="{00000000-0006-0000-0F00-0000BE000000}">
      <text>
        <r>
          <rPr>
            <b/>
            <sz val="9"/>
            <color indexed="81"/>
            <rFont val="Tahoma"/>
            <family val="2"/>
          </rPr>
          <t>Department of Finance:</t>
        </r>
        <r>
          <rPr>
            <sz val="9"/>
            <color indexed="81"/>
            <rFont val="Tahoma"/>
            <family val="2"/>
          </rPr>
          <t xml:space="preserve">
10%+1091</t>
        </r>
      </text>
    </comment>
    <comment ref="BK129" authorId="0" shapeId="0" xr:uid="{00000000-0006-0000-0F00-0000BF000000}">
      <text>
        <r>
          <rPr>
            <b/>
            <sz val="9"/>
            <color indexed="81"/>
            <rFont val="Tahoma"/>
            <family val="2"/>
          </rPr>
          <t>Department of Finance:</t>
        </r>
        <r>
          <rPr>
            <sz val="9"/>
            <color indexed="81"/>
            <rFont val="Tahoma"/>
            <family val="2"/>
          </rPr>
          <t xml:space="preserve">
10%+1091</t>
        </r>
      </text>
    </comment>
  </commentList>
</comments>
</file>

<file path=xl/sharedStrings.xml><?xml version="1.0" encoding="utf-8"?>
<sst xmlns="http://schemas.openxmlformats.org/spreadsheetml/2006/main" count="11947" uniqueCount="2458">
  <si>
    <t>N/A</t>
  </si>
  <si>
    <t>POA</t>
  </si>
  <si>
    <t>YES</t>
  </si>
  <si>
    <t>NO</t>
  </si>
  <si>
    <t>Type</t>
  </si>
  <si>
    <t>Description</t>
  </si>
  <si>
    <t>Sheet</t>
  </si>
  <si>
    <t>Kyocera</t>
  </si>
  <si>
    <t>Ricoh</t>
  </si>
  <si>
    <t>Fuji Xerox</t>
  </si>
  <si>
    <t>Konica Minolta</t>
  </si>
  <si>
    <t xml:space="preserve">Entry (E) </t>
  </si>
  <si>
    <t>Low (L)</t>
  </si>
  <si>
    <t>Medium (M)</t>
  </si>
  <si>
    <t>High (H)</t>
  </si>
  <si>
    <t>Med (M)</t>
  </si>
  <si>
    <t>Contractor</t>
  </si>
  <si>
    <t xml:space="preserve">Device </t>
  </si>
  <si>
    <t>Cost per Copy - BW</t>
  </si>
  <si>
    <t>Cost per Copy - Colour</t>
  </si>
  <si>
    <t>Consumables</t>
  </si>
  <si>
    <t>Upgrades &amp; Other</t>
  </si>
  <si>
    <t>Device Level</t>
  </si>
  <si>
    <t>Total</t>
  </si>
  <si>
    <t>PPM</t>
  </si>
  <si>
    <t>Under 30</t>
  </si>
  <si>
    <t>30-39</t>
  </si>
  <si>
    <t>40-59</t>
  </si>
  <si>
    <t>60+</t>
  </si>
  <si>
    <t>Supplier product ID</t>
  </si>
  <si>
    <t>Engine Life (total pages)</t>
  </si>
  <si>
    <t>Monthly duty cycle (pages handled)</t>
  </si>
  <si>
    <t>10,000 (recommended)</t>
  </si>
  <si>
    <t>Pages per minute (ppm)</t>
  </si>
  <si>
    <t>Entry MFD 1</t>
  </si>
  <si>
    <t>Entry MFD 2</t>
  </si>
  <si>
    <t>Overall Total</t>
  </si>
  <si>
    <t>Product Detail</t>
  </si>
  <si>
    <t>A8K3190</t>
  </si>
  <si>
    <t>14YK (SK-602)</t>
  </si>
  <si>
    <t>Waste Toner Box</t>
  </si>
  <si>
    <t>Level</t>
  </si>
  <si>
    <t>Supplier</t>
  </si>
  <si>
    <t>A3-A6</t>
  </si>
  <si>
    <t xml:space="preserve">8.4 seconds (colour)
</t>
  </si>
  <si>
    <t>20 seconds or less</t>
  </si>
  <si>
    <t>Idle: 25.6dB
Operation: 49.9dB</t>
  </si>
  <si>
    <t>1‚800 dpi equiv. x Sub: 600dpi</t>
  </si>
  <si>
    <t>A5 - A3</t>
  </si>
  <si>
    <t xml:space="preserve">60-256 gsm (tray)
</t>
  </si>
  <si>
    <t>Tray 1: 500 sheets (up to B4)
Tray 2: 500 sheets (up to A3)</t>
  </si>
  <si>
    <t>100 sheets (up to A3)</t>
  </si>
  <si>
    <t>100 Sheets (68gsm)</t>
  </si>
  <si>
    <t>Reverse Automatic Document Feeder</t>
  </si>
  <si>
    <t>1.0kW</t>
  </si>
  <si>
    <t>60 months when sold on Service Contract</t>
  </si>
  <si>
    <t>2GB</t>
  </si>
  <si>
    <t>2000 destinations in Address Book</t>
  </si>
  <si>
    <t>600 dpi x Sub: 600 dpi</t>
  </si>
  <si>
    <t>Ethernet 10Base-T / 100Base-TX / 1000Base-T
USB1.1, USB2.0
USB Host</t>
  </si>
  <si>
    <t>TCP/IP (LPD‚ Raw‚ SMB‚ IPP)‚ IPX/SPX (NDS support)‚ AppleTalk</t>
  </si>
  <si>
    <t>Server: Windows Server 2008
Windows Server 2008 /
Server 2008 R2 x64 Edition
Server 2012 x64 Edition / Server 2012 R2 x64 Edition
Client: Windows Vista / 7/8/8.1
Windows Vista / 7/8/8.1 x64 Edition
Windows Server 2008
Windows Server 2008/ Sever 2008 R2 / Sever 2012 /
Sever 2012 R2 x64 Edition
Mac OSX 10.6,10.7,10.8,10.9,10.10 Intel version
Red Hat Enterprise Linux</t>
  </si>
  <si>
    <t>PCL 5e/c‚ PCL 6‚ PostScript3 Emulation‚ XPS‚ BMLinkS</t>
  </si>
  <si>
    <t>CUA Price</t>
  </si>
  <si>
    <t>Device - Base Price</t>
  </si>
  <si>
    <t>Detail</t>
  </si>
  <si>
    <t>TCO</t>
  </si>
  <si>
    <t>TCO Ranking</t>
  </si>
  <si>
    <t>TCO (on estimated usage per device)</t>
  </si>
  <si>
    <t>Estimated Copies per annum</t>
  </si>
  <si>
    <t>Fit for Purpose</t>
  </si>
  <si>
    <t>Meets Engine Life Requirement</t>
  </si>
  <si>
    <t>Product Name</t>
  </si>
  <si>
    <t>Low MFD 1</t>
  </si>
  <si>
    <t>Low MFD 2</t>
  </si>
  <si>
    <t>Low MFD 3</t>
  </si>
  <si>
    <t>Low MFD 4</t>
  </si>
  <si>
    <t>A8DA190</t>
  </si>
  <si>
    <t>A9E8190</t>
  </si>
  <si>
    <t>A9K8150</t>
  </si>
  <si>
    <t>A6Y8WY1 (SK-501 Staple Kit)</t>
  </si>
  <si>
    <t>SRA3-A6</t>
  </si>
  <si>
    <t>8.5" x 14"-A6</t>
  </si>
  <si>
    <t>SRA3‚ A3 wide‚ A3-A6</t>
  </si>
  <si>
    <t>SRA3-A6S1</t>
  </si>
  <si>
    <t>7.5 seconds (colour)</t>
  </si>
  <si>
    <t>7.3 seconds (colour)</t>
  </si>
  <si>
    <t>6.9 seconds (colour)</t>
  </si>
  <si>
    <t>10 seconds or less (colour)</t>
  </si>
  <si>
    <t>5.1 seconds or less (colour)</t>
  </si>
  <si>
    <t>4.4 seconds or less (colour)</t>
  </si>
  <si>
    <t>4 (colour)</t>
  </si>
  <si>
    <t>4.9 (colour)</t>
  </si>
  <si>
    <t>25 seconds or less</t>
  </si>
  <si>
    <t>28 seconds or less</t>
  </si>
  <si>
    <t>22 seconds or less</t>
  </si>
  <si>
    <t>13,333 (recommended)</t>
  </si>
  <si>
    <t>16,666 (recommended)</t>
  </si>
  <si>
    <t>25,000 (recommended)</t>
  </si>
  <si>
    <t>6,667 (recommended)</t>
  </si>
  <si>
    <t>30,000 (recommended)</t>
  </si>
  <si>
    <t>33,333 (recommended)</t>
  </si>
  <si>
    <t>83,333 (recommended)</t>
  </si>
  <si>
    <t>Idle: 22.6dB
Operation: 50.8dB</t>
  </si>
  <si>
    <t>Idle: 26.8dB
Operation: 50.1dB</t>
  </si>
  <si>
    <t>Idle: 23.5dB
Operation: 51.2dB</t>
  </si>
  <si>
    <t>Idle: 40dB
Operation: 70.9dB</t>
  </si>
  <si>
    <t>Idle: 27.3dB
Operation: 55.0dB</t>
  </si>
  <si>
    <t>Idle: 26.5dB
Operation: 55.0dB</t>
  </si>
  <si>
    <t>Idle: 27.9dB
Operation: 55.7dB</t>
  </si>
  <si>
    <t>Idle: 54dB
Operation: 75dB</t>
  </si>
  <si>
    <t>1,200 x 1,200 dpi</t>
  </si>
  <si>
    <t xml:space="preserve">1200 x 1200 </t>
  </si>
  <si>
    <t>600 x 600</t>
  </si>
  <si>
    <t>A5–A3</t>
  </si>
  <si>
    <t>52-256 gsm (tray)
60-300 gsm (bypass)</t>
  </si>
  <si>
    <t>60-90gsm (tray)
60-210gsm (bypass)</t>
  </si>
  <si>
    <t>52-256 gsm (tray)
52-300 gsm (bypass)</t>
  </si>
  <si>
    <t>Tray 1: 500 sheets (up to A3)
Tray 2: 500 sheets (up to SRA3)</t>
  </si>
  <si>
    <t>Tray 1: 550 sheets (up to 8.5" x 14")</t>
  </si>
  <si>
    <t>150 sheets (up to SRA3)</t>
  </si>
  <si>
    <t>100 sheets</t>
  </si>
  <si>
    <t>50 Sheets</t>
  </si>
  <si>
    <t>300 sheets (80gsm)</t>
  </si>
  <si>
    <t>Duplex Type Auto Reversible Document Feeder</t>
  </si>
  <si>
    <t xml:space="preserve">Reverse Automatic Document Feeder </t>
  </si>
  <si>
    <t>1.2kW</t>
  </si>
  <si>
    <t>1.6kW</t>
  </si>
  <si>
    <t>1.8kW</t>
  </si>
  <si>
    <t>1.9kW</t>
  </si>
  <si>
    <t>2.5kW</t>
  </si>
  <si>
    <t>3.0kW</t>
  </si>
  <si>
    <t>3.9kW</t>
  </si>
  <si>
    <t>5.2kW</t>
  </si>
  <si>
    <t>1GB</t>
  </si>
  <si>
    <t>4GB</t>
  </si>
  <si>
    <t>600 x 600 dpi</t>
  </si>
  <si>
    <t>Ethernet 10Base-T/100Base-TX/1000Base-T</t>
  </si>
  <si>
    <t>10/100/1,000-Base-T Ethernet; USB 2.0;
Wi-Fi 802.11b/g/n (optional)</t>
  </si>
  <si>
    <t>TCP/IP‚ IPX/SPX (NDS support)‚ SMB (NetBEUI)‚ LPD‚ IPP1.1‚ SNMP‚ HTTP</t>
  </si>
  <si>
    <t>TCP/IP‚ IPP1.1‚ SNMP‚ HTTP‚ WSD</t>
  </si>
  <si>
    <t>TCP/IP (LPD‚ Raw‚ SMB‚ IPP)</t>
  </si>
  <si>
    <t>TCP/IP (FTP, SMB, SMTP,WebDAV) (IPv4/IPv6)</t>
  </si>
  <si>
    <t>TCP/IP (IPv4 / IPv6); SMB; LPD; IPP; SNMP; HTTP</t>
  </si>
  <si>
    <t>Windows Vista (32/62bit)/ 7 (32/64bit) / 8 (32/64bit) / 8.1 (32/64bit)</t>
  </si>
  <si>
    <t>Windows Vista/7/8.1/10</t>
  </si>
  <si>
    <t>Windows Vista (32/62bit)/ 7 (32/64bit) / 8.1 (32/64bit)</t>
  </si>
  <si>
    <t>Server: Windows Server 2003 / Server 2003 R2 / Server 2008
Windows Server 2003 / Server 2003 R2 / Server 2008 /
Server 2008 R2 x64 Edition
Server 2012 x64 Edition / Server 2012 R2 x64 Edition
Client: Windows Vista / 7/8.1
Windows Vista / 7/8.1 x64 Edition
Windows Server 2003 / Server 2003 R2 / Server 2008
Windows Server 2003 / Server 2003 R2 / Server 2008/
Sever 2008 R2 / Sever 2012 / Sever 2012 R2 x64 Edition
Mac OSX 10.7,10.8,10.9,10.10 Intel version
Red Hat Enterprise Linux</t>
  </si>
  <si>
    <t>Windows 7 (32/64); Windows 8/8.1 (32/64);
Windows 10 (32/64); Windows Server 2008 (32/64);
Windows Server 2008 R2; Windows Server 2012;
Windows Server 2012 R2; Windows Server 2016;
Macintosh OS X 10.8 or later; Unix; Linux; Citrix</t>
  </si>
  <si>
    <t>PCL 5e/c Emulation‚ PCL 6 Emulation‚ PostScript3 (3016) Emulation‚ XPS (Ver.1.0)</t>
  </si>
  <si>
    <t>PCL 5e/c Emulation‚ PCL 6 Emulation‚ PostScript3 (3016) Emulation‚ XPS (Ver.1.0)‚ PPML/GA2.2‚ PPML VDX‚ OpenXPS‚ PDF1.7‚ OOXML(docx‚ xlsx‚ pptx)</t>
  </si>
  <si>
    <t>PostScript 3 (3016) Emulation
PCL 6 (XL Version 3.0）Emulation、
PCL 5e/c Emulation
XPS Version 1.0</t>
  </si>
  <si>
    <t>PCL 6 (XL 3.0); PCL 5; PostScript 3 (CPSI 3016); XPS</t>
  </si>
  <si>
    <t>PSTN (Public switch telephone network), PBX (private branch
exchange), Super G3 (Fax line)</t>
  </si>
  <si>
    <t>Entry (Under 30ppm)</t>
  </si>
  <si>
    <t>Low (30 - 39ppm)</t>
  </si>
  <si>
    <t>Medium (40 - 59ppm)</t>
  </si>
  <si>
    <t>High (60+ ppm)</t>
  </si>
  <si>
    <t>Black = CT202634
Cyan = CT202635
Magenta = CT202636
Yellow = CT202637</t>
  </si>
  <si>
    <t>Black = CT201586
Cyan = CT201587
Magenta = CT201588
Yellow = CT201589</t>
  </si>
  <si>
    <t>Black Yield = 36,000 prints
C, Y, M = 21,000 prints ea.</t>
  </si>
  <si>
    <t>CWAA0856</t>
  </si>
  <si>
    <t>Waste Toner Bottle - P/N CWAA0901 - 83,000 prints</t>
  </si>
  <si>
    <t>Waste Toner Bottle - P/N CWAA0902 - 83,000 Prints</t>
  </si>
  <si>
    <t>Waste Toner Bottle - P/N CWAA0663 - 50,000 Prints</t>
  </si>
  <si>
    <t>A5 - A4</t>
  </si>
  <si>
    <t>A5 - SRA3 Main Trays
89mmx98mm to 305mm x 483mm via bypass Tray
plus Banner Print - 320 x 1,200 mm</t>
  </si>
  <si>
    <t>B&amp;W 4.9 seconds
Colour 6.7 seconds</t>
  </si>
  <si>
    <t>B&amp;W 4.4 seconds
Colour 5.7 seconds</t>
  </si>
  <si>
    <t>B&amp;W 3.7 seconds
Colour 5.2 seconds</t>
  </si>
  <si>
    <t>B&amp;W 3.3 seconds
Colour 4.1 seconds</t>
  </si>
  <si>
    <t>B&amp;W 4.1 seconds
Colour 6.5 seconds</t>
  </si>
  <si>
    <t>24 Seconds</t>
  </si>
  <si>
    <t>90 Seconds or Less</t>
  </si>
  <si>
    <t>5 Minutes or less</t>
  </si>
  <si>
    <t>Recommended Monthly Maximum Average 5,000</t>
  </si>
  <si>
    <t>Recommended Monthly Maximum Average 20,000</t>
  </si>
  <si>
    <t>Recommended Monthly Maximum Average 25,000</t>
  </si>
  <si>
    <t>Recommended Monthly Maximum Average 30,000</t>
  </si>
  <si>
    <t>Recommended Monthly Maximum Average 35,000</t>
  </si>
  <si>
    <t>Recommended Monthly Maximum Average 40,000</t>
  </si>
  <si>
    <t>Recommended Monthly Maximum Average 45,000</t>
  </si>
  <si>
    <t>Recommended Monthly Maximum Average 50,000</t>
  </si>
  <si>
    <t>Recommended Monthly Maximum Average 70,000</t>
  </si>
  <si>
    <t>Recommended Monthly Maximum Average 100,000</t>
  </si>
  <si>
    <t>Engine Life is rated at 1,200,000</t>
  </si>
  <si>
    <t>Engine Life is rated at 1,500,000</t>
  </si>
  <si>
    <t>Engine Life is rated at 2,100,000</t>
  </si>
  <si>
    <t>Engine Life is rated at 2,400,000</t>
  </si>
  <si>
    <t>Engine Life is rated at 2,700,000</t>
  </si>
  <si>
    <t>Engine Life is rated at 3,000,000</t>
  </si>
  <si>
    <t>Engine Life is rated at 4,200,000</t>
  </si>
  <si>
    <t>51.5 to 58.1 dB</t>
  </si>
  <si>
    <t>1,200 x 2,400 dpi</t>
  </si>
  <si>
    <t>600x600dpi Std
1,200 x 1,200 dpi High Res
1,200 x 2,400 dpi High Quality</t>
  </si>
  <si>
    <t>600 x 600 dpi, 1,200 x 1,200 dpi</t>
  </si>
  <si>
    <t>2,400 x 2,400 dpi High Quality</t>
  </si>
  <si>
    <t>2,400 x 2,400 dpi</t>
  </si>
  <si>
    <t>1,200 x 2,400 dpi (photo)
600 x 600 dpi (text/text-photo/Map)</t>
  </si>
  <si>
    <t>2,400 x 2,400 (Photo) 600 x 600 (text/text-photo/Map)</t>
  </si>
  <si>
    <t xml:space="preserve">A4 / B5 / A5 / B6 / A6 / Letter / Legal / Folio / Executive / Statement / Envelopes Width: 76.2 to 215.9mm (3” to 8.5”) Length: 146 to 355.6mm (5.8” to 14”) </t>
  </si>
  <si>
    <t>A5 - SRA3 Main Trays
89mmx98mm to 305mm x 483mm via bypass Tray</t>
  </si>
  <si>
    <t>60 to 220gsm, Duplex: 60 to176gsm</t>
  </si>
  <si>
    <t>52 - 300 GSM</t>
  </si>
  <si>
    <t>64 - 300 GSM</t>
  </si>
  <si>
    <t>300 Sheets</t>
  </si>
  <si>
    <t xml:space="preserve">2,090 Sheets </t>
  </si>
  <si>
    <t>700 Sheets</t>
  </si>
  <si>
    <t xml:space="preserve">3,075 Sheets </t>
  </si>
  <si>
    <t>3,260 Sheets</t>
  </si>
  <si>
    <t>850 Sheets</t>
  </si>
  <si>
    <t>5,105 with optional HCF (B1)</t>
  </si>
  <si>
    <t>5,260 with optional HCF</t>
  </si>
  <si>
    <t>90 (80 gsm)</t>
  </si>
  <si>
    <t>Sleep Mode = .5W
Stand-By = 75W
Max. = 2.4kW</t>
  </si>
  <si>
    <t>Sleep Mode = .5W
Stand-By = 111W
Max. = 2.4kW</t>
  </si>
  <si>
    <t>60 Months minimum while under valid Fuji Xerox Maintenance Agreement</t>
  </si>
  <si>
    <t>16GB + 1TB HDD</t>
  </si>
  <si>
    <t xml:space="preserve">600 x 600 dpi, 400 x 400 dpi, 300 x 300 dpi, 200 x 200 dpi </t>
  </si>
  <si>
    <t>600x600, 400x400, 300x300, 200x200</t>
  </si>
  <si>
    <t>600 x 600dpi, 400 x 400dpi, 300 x 300dpi, 200 x 200dpi</t>
  </si>
  <si>
    <t>TCP/IP (lpd, IPP, Port9100, WSD*3, ThinPrint)</t>
  </si>
  <si>
    <t>PCL5, PCL6, PostScript, Unicode digitally signed PCL, Unicode digitally signed postscript
PCL 82 European fonts, 43 symbol sets Optional Multi-Language Fonts 
Adobe PostScript®3 136 European font</t>
  </si>
  <si>
    <t xml:space="preserve">PCL5/PCL6, Adobe PostScript® 3, FX-PDF, TIFF, JPEG, HBPL </t>
  </si>
  <si>
    <t xml:space="preserve">Transmit: PC DirectFAX, Broadcast, Delay/Schedule, Forward Receive: Secure, Remote, Polling, Fax Forward to email </t>
  </si>
  <si>
    <t>1102R53AS0</t>
  </si>
  <si>
    <t>1102P33AS0</t>
  </si>
  <si>
    <t>1102R63AS0</t>
  </si>
  <si>
    <t>ECOSYS M8130cidn</t>
  </si>
  <si>
    <t>1T02P30AS0, 1T02P3AAS0, 1T02P3BAS0, 1T02PSCAS0</t>
  </si>
  <si>
    <t>1T02R50AS0, 1T02R5AAS0, 1T02R5BAS0, 1T02R5CAS0</t>
  </si>
  <si>
    <t>1T02R60AS0, 1T02R6CAS1, 1T02R6BAS1, 1T02R6AAS1</t>
  </si>
  <si>
    <t xml:space="preserve">1T02NH0AS0,1T02NHCAS0,1T02NHBAS0, 1T02NHCAS0,  </t>
  </si>
  <si>
    <t>TK-8119 (K - 12K, Y, M, C - 6K each)</t>
  </si>
  <si>
    <t>TK-5209 (K - 18K, Y, M, C - 12K each)</t>
  </si>
  <si>
    <t>TK-5219(K - 20K, C, M, Y - 15K each)</t>
  </si>
  <si>
    <t>TK-8729(K - 70K, C, M, Y - 30K each)</t>
  </si>
  <si>
    <t>Included in Maintenance Kit</t>
  </si>
  <si>
    <t xml:space="preserve">MK-8115A - Black 200,000 pges, MK-8115B - Colour 200,000 pges </t>
  </si>
  <si>
    <t>MK-5205A 200,000 pges, MK-5205B 200,000 pges</t>
  </si>
  <si>
    <t>MK-5215A 300,000 pges, MK-512B 300,000 pges</t>
  </si>
  <si>
    <t>MK-8725A 600,000 pges, MK-8725B 600,000 pges</t>
  </si>
  <si>
    <t>SH-10 1903JY0000</t>
  </si>
  <si>
    <t>SH-12 1903NB0UN0</t>
  </si>
  <si>
    <t>3 X 5000</t>
  </si>
  <si>
    <t>A3 - A6</t>
  </si>
  <si>
    <t>SRA3 - A6</t>
  </si>
  <si>
    <t>A4 - A6</t>
  </si>
  <si>
    <t>1200 x 1200</t>
  </si>
  <si>
    <t>52 - 300</t>
  </si>
  <si>
    <t>60 - 220</t>
  </si>
  <si>
    <t>52 -300</t>
  </si>
  <si>
    <t>60 -220</t>
  </si>
  <si>
    <t>1.5GB</t>
  </si>
  <si>
    <t>4.5GB</t>
  </si>
  <si>
    <t>USB 2.0 (Hi-Speed), Gigabit
Ethernet (10/100/1000)</t>
  </si>
  <si>
    <t>TCP/IP, FTP, SMB, LPR, Port9100, NetBEUI, Bonjour, IPP, IPP over SSL, LPD, WSD Print, POP3, SMTP, SNMP V1,2&amp;3, HTTP, HTTPS, Enhanced WSD, Enhanced WSD over SSL, Enhanced WSD over SSL Certificate, IEEE 802.1X, LLTD, DSM Scan, eSCL, eSCL over SSL, LDAP, REST, REST over SSL, REST over SSL Certificate, VNC, VNC over SSL,  VNC over SSL certificate, Enhanced VNC (RFB) over SSL Certificate</t>
  </si>
  <si>
    <t>All current Windows operating systems, MAC OS X Version 10.11 or higher, Unix, Linux</t>
  </si>
  <si>
    <t>English</t>
  </si>
  <si>
    <t>Inclusive</t>
  </si>
  <si>
    <t>3 x 5,000 Staples</t>
  </si>
  <si>
    <t>5 x 5,000 Staples</t>
  </si>
  <si>
    <t>SRA3, A3, A4, A5, A6, B4, B5, B6</t>
  </si>
  <si>
    <t>A4, A5, A6, B4, B5, B6</t>
  </si>
  <si>
    <t>Full colour : 7.6  seconds
B/W : 5.4 seconds</t>
  </si>
  <si>
    <t>Full colour: 7.1 seconds B/W: 4.6 seconds</t>
  </si>
  <si>
    <t xml:space="preserve">Full colour: 8.6 seconds B/W: 7.2 seconds </t>
  </si>
  <si>
    <t>Full colour: 5.7 seconds B/W: 4.0 seconds</t>
  </si>
  <si>
    <t>Full colour: 4.5 seconds B/W: 3.1 seconds</t>
  </si>
  <si>
    <t>Full colour: 7.5 seconds B/W: 5.5 seconds</t>
  </si>
  <si>
    <t>Full colour: 6.3 seconds B/W: 4.7 seconds</t>
  </si>
  <si>
    <t>25 seconds</t>
  </si>
  <si>
    <t>19 seconds</t>
  </si>
  <si>
    <t>24 seconds</t>
  </si>
  <si>
    <t>38 seconds</t>
  </si>
  <si>
    <t>Standby 20 dB</t>
  </si>
  <si>
    <t>Standby 19.5 dB</t>
  </si>
  <si>
    <t>Standby 19.6 dB</t>
  </si>
  <si>
    <t>Standby 19.0 dB</t>
  </si>
  <si>
    <t>Standby 24.2 dB</t>
  </si>
  <si>
    <t>Standby 24.6 dB</t>
  </si>
  <si>
    <t xml:space="preserve">1,200 x 1,200 dpi </t>
  </si>
  <si>
    <t>Maximum: 1,200 x 1,200 dpi</t>
  </si>
  <si>
    <t xml:space="preserve">1,200 x 4,800 dpi
</t>
  </si>
  <si>
    <t xml:space="preserve">600 dpi </t>
  </si>
  <si>
    <t>600 x 600 dp</t>
  </si>
  <si>
    <t>60 - 300 g/m2</t>
  </si>
  <si>
    <t>Paper tray(s): 60 - 163 g/m²
Bypass tray: 60 - 220 g/m²</t>
  </si>
  <si>
    <t>52 - 300 g/m2</t>
  </si>
  <si>
    <t>Standard 1,200 sheets</t>
  </si>
  <si>
    <t>Standard 1 x 250 Sheets</t>
  </si>
  <si>
    <t>Standard: 3,700 sheets</t>
  </si>
  <si>
    <t xml:space="preserve"> Optional up to 2,300 Sheets</t>
  </si>
  <si>
    <t xml:space="preserve"> Optional up to 4,700 Sheets</t>
  </si>
  <si>
    <t>Optional up to 1,350 Sheets</t>
  </si>
  <si>
    <t xml:space="preserve"> Optional up to 8,100 Sheets</t>
  </si>
  <si>
    <t>100 Sheets - upgradable to 220 sheets</t>
  </si>
  <si>
    <t>Single Pass Document Feeder 50 Sheets</t>
  </si>
  <si>
    <t>220 sheets single pass document feeder</t>
  </si>
  <si>
    <t>Maximum : 1,700 W
Ready mode : 50.2 W
Sleep mode : 0.90 W
TEC (Typical Electricity Consumption):
0.7 kW/h</t>
  </si>
  <si>
    <t>Maximum: 1,700 W, Ready mode: Less than 47.3 W, Sleep mode: Less than 0.93 W, TEC (Typical Electricity Consumption): 1.2 kWh</t>
  </si>
  <si>
    <t>Maximum: 1,700 W, Ready mode: Less than 47.3 W, Sleep mode: Less than 0.93 W, TEC (Typical Electricity Consumption): 1.3 kWh</t>
  </si>
  <si>
    <t>Maximum: 1,200 W, Ready mode: Less than 53.1 W, Sleep mode: Less than 0.83 W, TEC (Typical Electricity Consumption): 1.1 kWh</t>
  </si>
  <si>
    <t>Maximum: 1,850 W, Ready mode: Less than 55.1 W, Sleep mode: Less than 0.89 W, TEC (Typical Electricity Consumption): 1.8 kWh</t>
  </si>
  <si>
    <t>Maximum: 1,850 W, Ready mode: Less than 55.1 W, Sleep mode: Less than 0.89 W, TEC (Typical Electricity Consumption): 2.7 kWh</t>
  </si>
  <si>
    <t>Maximum: 2,400 W, Ready mode: Less than 198 W, Low Power Mode 181 W, Sleep mode: Less than 0.89 W, TEC (Typical Electricity Consumption): 4.8 Wh</t>
  </si>
  <si>
    <t>Maximum: 2,400 W, Ready mode: Less than 199 W, Low Power Mode 181 W, Sleep mode: Less than 0.89 W, TEC (Typical Electricity Consumption): 6.2 Wh</t>
  </si>
  <si>
    <t>60 Months under Cost Per Print Maintenance Agreement</t>
  </si>
  <si>
    <t>Standard : 2GB and 250GB HDD with Encryption and Data
Overwrite Security</t>
  </si>
  <si>
    <t>Memory: Standard: 2 GB
HDD: 320 GB Encryption and Data
Overwrite Security</t>
  </si>
  <si>
    <t>Standard : 2GB and 320GB HDD with Encryption and Data
Overwrite Security</t>
  </si>
  <si>
    <t xml:space="preserve">Memory: Standard: 4 GB
HDD: 640 GB
</t>
  </si>
  <si>
    <t>FTP/SMB - 2,000 Folders, Email 2,000 addresses</t>
  </si>
  <si>
    <t>Maximum : 1,200 dpi</t>
  </si>
  <si>
    <t>Maximum: 1,200 dpi</t>
  </si>
  <si>
    <t xml:space="preserve">100 - 600 dpi
</t>
  </si>
  <si>
    <t>Maximum: 600 dp</t>
  </si>
  <si>
    <t>Standard : SD slot, USB Host Interface,
 Ethernet 10 base-T/100 base-TX/
 1000 Base-T                                Option : Wireless LAN (IEEE 802.11a/b/g/n),
 Bluetooth, USB Server for Second Network
 Interface, Bidirectional IEEE1284/ECP,
 USB 2.0 (Type B)</t>
  </si>
  <si>
    <t>Standard: SD slot, USB Host I/F,
Wireless LAN (IEEE 802.11b/g/n),
Bluetooth, Ethernet 10 base-T/100
base-TX/1000 base-T, NFC Tag
Option: Bi-directional IEEE 1284,
Wireless LAN (IEEE 802.11a/g/n) ,
Additional NIC (2nd port), USB Server
for Second Network Interface, Ethernet
Print only RJ-45 network port</t>
  </si>
  <si>
    <t xml:space="preserve">Standard: SD slot, Wireless LAN (IEEE
802.11b/g/n), Bluetooth, Ethernet 10
base-T/100 base-TX/1000 base-T,
NFC Tag, USB Device Server
Option: Ethernet 10 base-T/100 baseTX,
Bi-directional IEEE 1284, Wireless
LAN (IEEE 802.11a/b/g/n), USB 2.0
</t>
  </si>
  <si>
    <t>TCP/IP (IPv4, IPv6)</t>
  </si>
  <si>
    <t>TCP/IP (IP v4, IP v6)</t>
  </si>
  <si>
    <t xml:space="preserve">TCP/IP (IP v4, IP v6)
</t>
  </si>
  <si>
    <t>Mobile printing capability: Apple AirPrintTM
Windows® environments: Windows® Vista / 7 / 8.1 / 10,
Windows® Server 2008 / 2008R2 / 2012 / 2012R2
Mac OS environments: Macintosh OS X Native V10.9 or later
UNIX environments: UNIX Sun® Solaris, HP-UX, SCO OpenServer,
RedHat® Linux Enterprise, IBM® AIX, Citrix XenDesktop
7.0/7.1 Citrix XenApp 6.5/7.5
SAP® R/3® environments: SAP® R/3®, SAP® S/4®</t>
  </si>
  <si>
    <t>Windows® Vista, Windows® 7,
Windows® 8, Windows® 8.1,
Windows® 10, Windows® Server
2008, Windows® Server 2008R2,
Windows® Server 2012, Windows®
Server 2012R2, Windows® Server
2016
Mac OS environments: Macintosh OS X v10.2 or later
UNIX environments: UNIX Sun® Solaris, HP-UX, SCO
OpenServer, RedHat® Linux, IBM®
AIX
SAP® R/3® environments: SAP® R/3 3.x® or later
Other supported environments: NDPS Gateway, AS/400® using
OS/400 Host Print Transform</t>
  </si>
  <si>
    <t>Windows® environments: Windows® Vista, Windows® 7,
Windows® 8, Windows® 8.1,
Windows® 10, Windows® Server
2008, Windows® Server 2008R2,
Windows® Server 2012, Windows®
Server 2012R2
Mac OS environments: Macintosh OS X v10.7 or later
UNIX environments: UNIX Sun® Solaris, HP-UX, SCO
OpenServer, RedHat® Linux, IBM®
AIX
SAP® R/3® environments: SAP® R/3®
Other supported environments: AS/400® using OS/400 Host Print
Transform, IBM iSeries</t>
  </si>
  <si>
    <t>Standard : PCL5c, PCL6, PostScript® 3™ Languages
Emulation, PDF Direct Print Emulation
Option : Adobe® PostScript® 3™, XPS, PictBridge
 Adobe PDF Direct Print</t>
  </si>
  <si>
    <t xml:space="preserve">Standard: PCL5c, PCL6, PostScript 3
(emulation), PDF direct (emulation)
Option: Genuine Adobe
®PostScript®3™, PictBridge, XPS
direct
</t>
  </si>
  <si>
    <t>Standard: PCL5c, PCL6, PDF Direct
from Adobe®
Option: Genuine Adobe
®PostScript®3™, XPS, IPDS</t>
  </si>
  <si>
    <t>Circuit: PSTN, PBX
Compatibility: ITU-T (CCITT) G3, Additional G3 Option
Resolution: Standard : 8 x 3.85 line/mm, 200 x 100 dpi,
 8 x 7.7 line/mm, 200 x 200 dpi
Option : 8 x 15.4 line/mm, 16 x 15.4 line/mm,
 400 x 400 dpi (with optional SAF Memory)
Transmission speed: G3 : 2 second(s) (200 x 100 dpi, JBIG),
 3 seconds(s) (200 x 100 dpi, MMR)
Modem speed: Maximum : 33.6 Kbps
Memory capacity: Standard : 4 MB
Maximum : 64 MB</t>
  </si>
  <si>
    <t xml:space="preserve">Circuit: PSTN, PBX
Compatibility: ITU-T (CCITT) G3
Resolution: Standard: 8 x 3.85 line/mm, 200 x 100
dpi
Detail: 8 x 7.7 line/mm, 200 x 200 dpi
Super fine: 8 x 15.4 line/mm, 400 x 400
dpi, 16 x 15.4 line/mm, 400 x 400 dpi
Compression method: MH, MR, MMR, JBIG
Transmission speed: G3: 2 second(s) (200 x 100 dpi, JBIG),
3 second(s) (200 x 100 dpi, MMR)
Modem speed: Maximum: 33.6 Kbps
Memory capacity: Standard: 4 MB
Maximum: 8 MB
</t>
  </si>
  <si>
    <t>Lookup</t>
  </si>
  <si>
    <t>Device Number</t>
  </si>
  <si>
    <t>1.1A - 1_MFD Level</t>
  </si>
  <si>
    <t>1.1A - 4_Product name</t>
  </si>
  <si>
    <t>1.1A - 6_Engine Life (total pages)</t>
  </si>
  <si>
    <t>1.1A - 7_Monthly duty cycle (pages handled)</t>
  </si>
  <si>
    <t>1.1A - 9_Device - base price</t>
  </si>
  <si>
    <t>1.1A - 10_Zone 1: Black and White (B&amp;W)</t>
  </si>
  <si>
    <t>1.1A - 11_Zone 1: Colour</t>
  </si>
  <si>
    <t>1.1A - 12_Zone 2: B&amp;W</t>
  </si>
  <si>
    <t>1.1A - 13_Zone 2: Colour</t>
  </si>
  <si>
    <t>1.1A - 14_Zone 3: B&amp;W</t>
  </si>
  <si>
    <t>1.1A - 15_Zone 3: Colour</t>
  </si>
  <si>
    <t>1.1A - 16_Albany within 20km: B&amp;W</t>
  </si>
  <si>
    <t>1.1A - 17_Albany within 20km: Colour</t>
  </si>
  <si>
    <t>1.1A - 18_Broome within 20km: B&amp;W</t>
  </si>
  <si>
    <t>1.1A - 19_Broome within 20km: Colour</t>
  </si>
  <si>
    <t>1.1A - 20_Bunbury within 20km: B&amp;W</t>
  </si>
  <si>
    <t>1.1A - 21_Bunbury within 20km: Colour</t>
  </si>
  <si>
    <t>1.1A - 22_Carnarvon within 20km: B&amp;W</t>
  </si>
  <si>
    <t>1.1A - 23_Carnarvon within 20km: Colour</t>
  </si>
  <si>
    <t>1.1A - 24_Esperance within 20km: B&amp;W</t>
  </si>
  <si>
    <t>1.1A - 25_Esperance within 20km: Colour</t>
  </si>
  <si>
    <t>1.1A - 26_Geraldton within 20km: B&amp;W</t>
  </si>
  <si>
    <t>1.1A - 27_Geraldton within 20km: Colour</t>
  </si>
  <si>
    <t>1.1A - 28_Kalgoorlie within 20km: B&amp;W</t>
  </si>
  <si>
    <t>1.1A - 29_Kalgoorlie within 20km: Colour</t>
  </si>
  <si>
    <t>1.1A - 30_Karratha within 20km: B&amp;W</t>
  </si>
  <si>
    <t>1.1A - 31_Karratha within 20km: Colour</t>
  </si>
  <si>
    <t>1.1A - 32_Kununurra within 20km: B&amp;W</t>
  </si>
  <si>
    <t>1.1A - 33_Kununurra within 20km: Colour</t>
  </si>
  <si>
    <t>1.1A - 34_Port Hedland within 20km: B&amp;W</t>
  </si>
  <si>
    <t>1.1A - 35_Port Hedland within 20km: Colour</t>
  </si>
  <si>
    <t>1.1A - 38_Toner - Pricing (Standard K)</t>
  </si>
  <si>
    <t>1.1A - 39_Toner - Pricing (Standard C, M, Y)</t>
  </si>
  <si>
    <t>1.1A - 40_Drum - Yield In pages</t>
  </si>
  <si>
    <t>1.1A - 41_Drum - Pricing</t>
  </si>
  <si>
    <t>1.1A - 42_Maintenance Kit (specify intervals)</t>
  </si>
  <si>
    <t xml:space="preserve">1.1A - 43_Maintenance Kit - Pricing </t>
  </si>
  <si>
    <t>1.1A - 44_Staples - Supplier Product ID</t>
  </si>
  <si>
    <t>1.1A - 45_Stapes - Quantity per pack</t>
  </si>
  <si>
    <t xml:space="preserve">1.1A - 46_Staples - Pricing </t>
  </si>
  <si>
    <t>1.1A - 48_Consumables Other - Pricing</t>
  </si>
  <si>
    <t>1.1A - 49_Surchage and Installation (S&amp;I) - Zone 2</t>
  </si>
  <si>
    <t xml:space="preserve">1.1A - 50_S&amp;I - Zone 3 </t>
  </si>
  <si>
    <t>1.1A - 51_S&amp;I - Albany within 20km</t>
  </si>
  <si>
    <t>1.1A - 52_S&amp;I - Broome within 20km</t>
  </si>
  <si>
    <t>1.1A - 53_S&amp;I - Bunbury within 20km</t>
  </si>
  <si>
    <t>1.1A - 54_S&amp;I - Carnarvon within 20km</t>
  </si>
  <si>
    <t>1.1A - 55_S&amp;I - Esperance within 20km</t>
  </si>
  <si>
    <t>1.1A - 56_S&amp;I - Geraldton within 20km</t>
  </si>
  <si>
    <t>1.1A - 57_S&amp;I - Kalgoorlie within 20km</t>
  </si>
  <si>
    <t>1.1A - 58_S&amp;I - Karratha within 20km</t>
  </si>
  <si>
    <t>1.1A - 59_S&amp;I - Kununurra within 20km</t>
  </si>
  <si>
    <t>1.1A - 60_S&amp;I - Port Hedland within 20km</t>
  </si>
  <si>
    <t>1.1B - 1_Print Size Capability (e.g. A6 - A3)</t>
  </si>
  <si>
    <t>1.1B - 3_Warm up time of device</t>
  </si>
  <si>
    <t xml:space="preserve">1.1B - 4_Average monthly volume of pages </t>
  </si>
  <si>
    <t>1.1B - 5_Design lifespan number of pages</t>
  </si>
  <si>
    <t xml:space="preserve">1.1B - 7_Printer Resolution </t>
  </si>
  <si>
    <t>1.1B - 8_Copier Resolution</t>
  </si>
  <si>
    <t>1.1B - 10_Paper input size (e.g. A4 to A3)</t>
  </si>
  <si>
    <t>1.1B - 11_Paper thickness range (GSM)</t>
  </si>
  <si>
    <t>1.1B - 12_Paper capacity - standard number sheets</t>
  </si>
  <si>
    <t>1.1B - 13_Paper capacity - maximum number sheets</t>
  </si>
  <si>
    <t>1.1B - 14_Bypass tray - number of sheets</t>
  </si>
  <si>
    <t>1.1B - 15_Auto document feeder - number of sheets</t>
  </si>
  <si>
    <t>1.1B - 21_Power consumption (Watts)</t>
  </si>
  <si>
    <t>1.1B - 22_Warranty (specify months)</t>
  </si>
  <si>
    <t>1.1B - 29_Scanner resolution (dpi)</t>
  </si>
  <si>
    <t>1.1B - 30_Network Interfaces (please specify for example FTP, USB 2.0, Ethernet, TCP/IP, SMB etc)</t>
  </si>
  <si>
    <t>MFD-Colour</t>
  </si>
  <si>
    <t>E</t>
  </si>
  <si>
    <t>Medium MFD 1</t>
  </si>
  <si>
    <t>Medium MFD 2</t>
  </si>
  <si>
    <t>Medium MFD 3</t>
  </si>
  <si>
    <t>Medium MFD 4</t>
  </si>
  <si>
    <t>High MFD 1</t>
  </si>
  <si>
    <t>High MFD 2</t>
  </si>
  <si>
    <t>High MFD 3</t>
  </si>
  <si>
    <t>High MFD 4</t>
  </si>
  <si>
    <t>1.1A - 36_Toner - Supplier Product ID</t>
  </si>
  <si>
    <t>1.1A - 37_Toner - Details (Please Specify)</t>
  </si>
  <si>
    <t>1.1A - 47_Consumables Other (Please Specify)</t>
  </si>
  <si>
    <t>1.1B - 2_First page out (time in seconds)</t>
  </si>
  <si>
    <t>1.1B - 9_Installation, commissioning within Zone 1 included as standard (YES/NO)</t>
  </si>
  <si>
    <t>1.1B - 16_Universal print driver included standard (YES/NO)</t>
  </si>
  <si>
    <t>1.1B - 17_Training included standard (YES/NO)</t>
  </si>
  <si>
    <t>1.1B - 18_Duplex printing/copying standard (YES/NO)</t>
  </si>
  <si>
    <t>1.1B - 19_Console included standard (YES/NO)</t>
  </si>
  <si>
    <t>1.1B - 20_Platen cover included standard (YES/NO)</t>
  </si>
  <si>
    <t>1.1B - 23_Memory standard in MB or GB (e.g. 2GB)</t>
  </si>
  <si>
    <t>1.1B - 25_Password print / security (YES/NO)</t>
  </si>
  <si>
    <t>1.1B - 26_Max users for FTP, email and SMB (specify number(s))</t>
  </si>
  <si>
    <t>1.1B - 28_Scan to colour (YES/NO)</t>
  </si>
  <si>
    <t>1.1B - 31_Network Protocol Support (please specify)</t>
  </si>
  <si>
    <t>1.1B - 32_Software O/S (please specify)</t>
  </si>
  <si>
    <t>1.1B - 33_Page Description Languages (please specify)</t>
  </si>
  <si>
    <t>1.1B - 34_Fax Standard (YES / NO)</t>
  </si>
  <si>
    <t>1.1B - 35_Fax Specs (if standard)</t>
  </si>
  <si>
    <t xml:space="preserve"> </t>
  </si>
  <si>
    <t>H</t>
  </si>
  <si>
    <t>M</t>
  </si>
  <si>
    <t>MFD-BW</t>
  </si>
  <si>
    <t>L</t>
  </si>
  <si>
    <t>SFP-BW</t>
  </si>
  <si>
    <t>Low (Under 30ppm)</t>
  </si>
  <si>
    <t>Medium (30 - 39ppm)</t>
  </si>
  <si>
    <t>High (40+ppm)</t>
  </si>
  <si>
    <t>SFP-Colour</t>
  </si>
  <si>
    <t>MFD-Colour_Ko_E_1</t>
  </si>
  <si>
    <t>MFD-Colour_Ko_E_2</t>
  </si>
  <si>
    <t>MFD-Colour_Ko_L_1</t>
  </si>
  <si>
    <t>MFD-Colour_Ko_L_2</t>
  </si>
  <si>
    <t>MFD-Colour_Ko_L_3</t>
  </si>
  <si>
    <t>MFD-Colour_Ko_L_4</t>
  </si>
  <si>
    <t>MFD-Colour_Ko_M_1</t>
  </si>
  <si>
    <t>MFD-Colour_Ko_M_2</t>
  </si>
  <si>
    <t>MFD-Colour_Ko_M_3</t>
  </si>
  <si>
    <t>MFD-Colour_Ko_M_4</t>
  </si>
  <si>
    <t>MFD-Colour_Ko_H_1</t>
  </si>
  <si>
    <t>MFD-Colour_Ko_H_2</t>
  </si>
  <si>
    <t>MFD-Colour_Ko_H_3</t>
  </si>
  <si>
    <t>MFD-Colour_Ko_H_4</t>
  </si>
  <si>
    <t>MFD-Colour_Ky_E_1</t>
  </si>
  <si>
    <t>MFD-Colour_Ky_E_2</t>
  </si>
  <si>
    <t>MFD-Colour_Ky_L_1</t>
  </si>
  <si>
    <t>MFD-Colour_Ky_L_2</t>
  </si>
  <si>
    <t>MFD-Colour_Ky_L_3</t>
  </si>
  <si>
    <t>MFD-Colour_Ky_L_4</t>
  </si>
  <si>
    <t>MFD-Colour_Ky_M_1</t>
  </si>
  <si>
    <t>MFD-Colour_Ky_M_2</t>
  </si>
  <si>
    <t>MFD-Colour_Ky_M_3</t>
  </si>
  <si>
    <t>MFD-Colour_Ky_M_4</t>
  </si>
  <si>
    <t>MFD-Colour_Ky_H_1</t>
  </si>
  <si>
    <t>MFD-Colour_Ky_H_2</t>
  </si>
  <si>
    <t>MFD-Colour_Ky_H_3</t>
  </si>
  <si>
    <t>MFD-Colour_Ky_H_4</t>
  </si>
  <si>
    <t>MFD-Colour_Ri_E_1</t>
  </si>
  <si>
    <t>MFD-Colour_Ri_E_2</t>
  </si>
  <si>
    <t>MFD-Colour_Ri_L_1</t>
  </si>
  <si>
    <t>MFD-Colour_Ri_L_2</t>
  </si>
  <si>
    <t>MFD-Colour_Ri_L_3</t>
  </si>
  <si>
    <t>MFD-Colour_Ri_L_4</t>
  </si>
  <si>
    <t>MFD-Colour_Ri_M_1</t>
  </si>
  <si>
    <t>MFD-Colour_Ri_M_2</t>
  </si>
  <si>
    <t>MFD-Colour_Ri_M_3</t>
  </si>
  <si>
    <t>MFD-Colour_Ri_M_4</t>
  </si>
  <si>
    <t>MFD-Colour_Ri_H_1</t>
  </si>
  <si>
    <t>MFD-Colour_Ri_H_2</t>
  </si>
  <si>
    <t>MFD-Colour_Ri_H_3</t>
  </si>
  <si>
    <t>MFD-Colour_Ri_H_4</t>
  </si>
  <si>
    <t xml:space="preserve">CT202508 </t>
  </si>
  <si>
    <t>Yield = 25,000 Prints</t>
  </si>
  <si>
    <t xml:space="preserve">CWAA0856 </t>
  </si>
  <si>
    <t xml:space="preserve">
A5 - A3S (Max. 297mm x 432mm)
</t>
  </si>
  <si>
    <t>4.5 seconds</t>
  </si>
  <si>
    <t>Rated Engine Life is 1,200,000</t>
  </si>
  <si>
    <t>A5 (Postcard 100 mm x 148mm) to A3</t>
  </si>
  <si>
    <t>60 gsm to 256 gsm</t>
  </si>
  <si>
    <t>596 Sheets</t>
  </si>
  <si>
    <t>2,096 with optional 3 Tray Module</t>
  </si>
  <si>
    <t>N/A (Dual Scan Auto Document Feeder is Standard)</t>
  </si>
  <si>
    <t xml:space="preserve"> PCL6, PCL5 (Standard) Adobe PostScript® 3 (Option) </t>
  </si>
  <si>
    <t>60 - 216 gsm</t>
  </si>
  <si>
    <t xml:space="preserve">A5 - A3S (Max. 297mm x 432mm)
</t>
  </si>
  <si>
    <t>Rated Engine Life is 2,400,000</t>
  </si>
  <si>
    <t>Recommended Monthly Maximum Average 10,000</t>
  </si>
  <si>
    <t>2,350 Sheets</t>
  </si>
  <si>
    <t>30 Seconds or Less</t>
  </si>
  <si>
    <t>18 dB to 85 dB</t>
  </si>
  <si>
    <t>2,400 x 600 dpi</t>
  </si>
  <si>
    <t>Ethernet 100BASE-TX/10BASE-T, USB2.0 Ethernet 1000BASE-T*3, Bidirectional Parallel (IEEE1284-B)</t>
  </si>
  <si>
    <t>TCP/IP (lpd, IPP, Port9100,  ThinPrint®, WSD*2</t>
  </si>
  <si>
    <t xml:space="preserve">32 bit: Windows Server® 2003, Windows Vista®,  Windows Server® 2008, Windows® 7, Windows® 8, Windows® 8.1 64 bit: Windows Server® 2003, Windows Server® 2008, Windows Server® 2008 R2, Windows Server® 2012, Windows Server® 2012 R2,Windows Vista®, Windows® 7, Windows® 8, Windows® 8.1 Mac OS X 10.4.11/10.5/10.6/10.7/10.8/10.9 </t>
  </si>
  <si>
    <t xml:space="preserve">PCL6, PCL5 (Standard) Adobe PostScript® 3TM </t>
  </si>
  <si>
    <t>Recommended Monthly Maximum Average 60,000</t>
  </si>
  <si>
    <t>CT201827</t>
  </si>
  <si>
    <t>Yield = 76,000 Prints</t>
  </si>
  <si>
    <t>Waste Toner Bottle CWAA0663 - Yield 140,000 Prints</t>
  </si>
  <si>
    <t>3 seconds</t>
  </si>
  <si>
    <t>Recommended Monthly Maximum Average 170,000</t>
  </si>
  <si>
    <t>Rated Engine Life is 5,000,000</t>
  </si>
  <si>
    <t>52 - 250 gsm</t>
  </si>
  <si>
    <t>4,450 Sheets</t>
  </si>
  <si>
    <t>8,600 Sheets</t>
  </si>
  <si>
    <t xml:space="preserve">Sleep Mode = 2W
Stand-By = 162W
Running = 970W
Max. = 2.2kW 
</t>
  </si>
  <si>
    <t xml:space="preserve">4GB + 160GB HDD  
</t>
  </si>
  <si>
    <t>Recommended Monthly Maximum Average 180,000</t>
  </si>
  <si>
    <t xml:space="preserve">4GB + 160GB HDD  </t>
  </si>
  <si>
    <t>MFD-BW_Ko_E_1</t>
  </si>
  <si>
    <t>227b-WA</t>
  </si>
  <si>
    <t>bizhub 227</t>
  </si>
  <si>
    <t>A87M090</t>
  </si>
  <si>
    <t>Toner Black TN323 (Yield : 23,000)</t>
  </si>
  <si>
    <t>14YK (Staples (SK-602) for FS-533/FS-534/SD-511/SD-512/FS-527/FS-529/FS-537SD (3 x 5K Cart.)</t>
  </si>
  <si>
    <t>A3 to A5</t>
  </si>
  <si>
    <t>5.3 secs</t>
  </si>
  <si>
    <t>20 seconds</t>
  </si>
  <si>
    <t>Idle: 41dB
Operating: 66dB</t>
  </si>
  <si>
    <t>1800 x 600</t>
  </si>
  <si>
    <t>Paper tray 1 &amp; 2: up to A3
Bypass Tray: up to A3</t>
  </si>
  <si>
    <t>Paper Trays: 52 - 256 gsm
Bypass Tray: 60 - 220 gsm</t>
  </si>
  <si>
    <t>Automatic Document Feeder</t>
  </si>
  <si>
    <t>1.89kWh/week</t>
  </si>
  <si>
    <t>TCP/IP (FTP, SMB, SMTP, WebDAV) (IPv4/IPv6), Ethernet (10BASE-T/100BASE-TX/1000BASE-T), USB 1.1, USB 2.0, IEEE 802.11 b/g/n*2 (Optional)</t>
  </si>
  <si>
    <t>TCP/IP, IPX/SPX (NDS support), SMB (NetBEUI), LPD, IPP1.1, SNMP,
AppleTalk</t>
  </si>
  <si>
    <t>Windows 7 (32/64), 8/8.1 (32/64), 10 (32/64), Win Server 2008 (32/64), Win Server 2008 R2 (64), Win Server 2012/R2 (64), Win Server 2016 (64), Mac OS X (10.8 or later), Unix, Linux, Citrix</t>
  </si>
  <si>
    <t>PCL 6, PostScript 3 Emulation, XPS</t>
  </si>
  <si>
    <t>MFD-BW_Ko_L_1</t>
  </si>
  <si>
    <t>AAJ6090</t>
  </si>
  <si>
    <t>Toner Black TN326 (Yield: 24,000)</t>
  </si>
  <si>
    <t>14YK (Staples (SK-602) for FS-533/FS-534/SD-511/SD-512/FS-527/FS-529/FS-537SD)</t>
  </si>
  <si>
    <t>SRA3 to A5</t>
  </si>
  <si>
    <t>5.4 secs</t>
  </si>
  <si>
    <t>Idle: 27dB
Operating: 50dB</t>
  </si>
  <si>
    <t>Paper tray 1 &amp; 2: up to SRA3
Bypass Tray: up to SRA3</t>
  </si>
  <si>
    <t>Paper Trays: 52 - 256 gsm
Bypass Tray: 52 - 300 gsm</t>
  </si>
  <si>
    <t>150 sheets</t>
  </si>
  <si>
    <t>1.5kWh/week</t>
  </si>
  <si>
    <t>TCP/IP (IPv4, IPv6), IPX/SPX (ND support), SMB (netBEUI), LPD, IPP 1.1, SNMP, HTTP, 10BaseT/100BaseT/1000 BaseT, USB 2.0, USB Host</t>
  </si>
  <si>
    <t>TCP/IP (FTP, SMB, SMTP, WebDAV) (IPv4/IPv6)</t>
  </si>
  <si>
    <t>Windows Vista (32/64), Windows 7 (32/64), Windows 8/8.1 (32/64), Windows 10 (32/64), Windows Server 2008 (32/64), Windows Server 2008 R2 (64), Windows Server 2012/R2 (64), Macintosh OS X 10.6, Unix, Linux, Citrix, SAP. AS/400</t>
  </si>
  <si>
    <t>PCL6 (Ver. 3.0) Emulation, PCL5e Emulation,PostScript 3 Emulation (3016), XPS Ver. 1.0</t>
  </si>
  <si>
    <t>MFD-BW_Ko_L_2</t>
  </si>
  <si>
    <t>Idle: 24dB
Operating: 51dB</t>
  </si>
  <si>
    <t>1.8kWh/week</t>
  </si>
  <si>
    <t>TCP/IP (IPv4, IPv6), IPX/SPX (ND support), SMB (netBEUI), LPD, IPP 1.1, SNMP, HTTP, Ethernet (10BASE-T / 100BASE-TX / 1000BASE-T)‚ USB 1.1‚ USB 2.0‚ USB Host</t>
  </si>
  <si>
    <t>MFD-BW_Ko_M_1</t>
  </si>
  <si>
    <t>Toner Black TNP63 (Yield: 25,000)</t>
  </si>
  <si>
    <t>6.5 secs</t>
  </si>
  <si>
    <t>12 seconds</t>
  </si>
  <si>
    <t>Idle: 15dB
Operating: 58dB</t>
  </si>
  <si>
    <t>Up To A4</t>
  </si>
  <si>
    <t>Paper Trays: 60-120 gsm
Bypass tray: 60-216 gsm</t>
  </si>
  <si>
    <t>50 sheets</t>
  </si>
  <si>
    <t>1.4kWh/week</t>
  </si>
  <si>
    <t>TCP/IP(LPD, Raw,SMB,IPP), Ethernet 10Base-T/100Base-TX/1000Base-T USB2.0/1.1</t>
  </si>
  <si>
    <t>TCP/IP (IPv4/IPv6), IPP, SNMP, HTTP</t>
  </si>
  <si>
    <t>PCL: Windows 7/7 x64/8.1/8.1x64/10/10x64Windows Server 2008/Server 2008 x64/
Server 2008 R2/Server 2012/Server 2012R2/2016
PS: Windows 7/7 x64/8.1/8.1x64/10/10x64Windows Server 2008/Server 2008 x64/
Server 2008 R2/Server 2012/Server 2012R2/2016MacOS 10.8/10.9/10.10/10.11/10.12
XPS: Windows 7/7 x64/8.1/8.1x64/10/10x64Windows Server 2008/Server 2008 x64/
Server 2008 R2/Server 2012/Server 2012R2/2016</t>
  </si>
  <si>
    <t>PCL5e/c Emulation, PCL XL ver.3.0 Emulation
PostScript 3 Emulation (3016)
XPS Ver.1.0, PPML/GA2.2, PPML VDX
OpenXPS, PDF1.7, Ooxml(pptx / xlsx/ docx)
PCL5e/c Emulation, PCL XL ver.3.0 Emulation
PostScript 3 Emulation (3016)</t>
  </si>
  <si>
    <t>MFD-BW_Ko_M_2</t>
  </si>
  <si>
    <t>AAJ7090</t>
  </si>
  <si>
    <t>Toner Black TN516 (Yield:25,000)</t>
  </si>
  <si>
    <t>4.0 secs</t>
  </si>
  <si>
    <t>Idle: 20dB
Operating: 52dB</t>
  </si>
  <si>
    <t>2.6kWh/week</t>
  </si>
  <si>
    <t>MFD-BW_Ko_M_3</t>
  </si>
  <si>
    <t>3.5 seconds</t>
  </si>
  <si>
    <t>22 seconds</t>
  </si>
  <si>
    <t>Idle: 25dB
Operating: 53dB</t>
  </si>
  <si>
    <t>Paper tray 1 &amp; 2: up to SRA3
Paper tray 3 &amp; 4: up to A4
Bypass Tray: up to SRA3</t>
  </si>
  <si>
    <t>3.2kWh/week</t>
  </si>
  <si>
    <t>MFD-BW_Ko_H_1</t>
  </si>
  <si>
    <t>Idle: 46dB
Operating: 69dB</t>
  </si>
  <si>
    <t>5.2kWh/week</t>
  </si>
  <si>
    <t>50 months when on service contract</t>
  </si>
  <si>
    <t>TCP/IP, IPX/SPX (NDS), SMB (Net BEUI), LPD, IPP1.1, SNMP, HTTP, Ethernet 10BASE-T, 100BASE-TX/1000BASE-T, Hi-Speed USB</t>
  </si>
  <si>
    <t>PCL6 (XL 3.0) Emulation, PCL5e Emulation, PostScript 3 Emulation (3016), XPS Ver. 1.0</t>
  </si>
  <si>
    <t>MFD-BW_Ko_H_2</t>
  </si>
  <si>
    <t>A8H5050</t>
  </si>
  <si>
    <t>Toner TN812 (Yield: 40,800)</t>
  </si>
  <si>
    <t>3.6 secs</t>
  </si>
  <si>
    <t>Idle: 55dB
Operating: 75dB</t>
  </si>
  <si>
    <t>TCP/IP (IPv4, IPv6), IPX/SPX (ND support), SMB (netBEUI), LPD, IPP 1.1, SNMP, HTTP, Ethernet 10Base-T/100Base-T/1000Base-T</t>
  </si>
  <si>
    <t>TCP/IP (FTP, SMB, SMTP) (IPv4 / IPv6)</t>
  </si>
  <si>
    <t>MFD-BW_Ko_H_3</t>
  </si>
  <si>
    <t>958B</t>
  </si>
  <si>
    <t>bizhub 958</t>
  </si>
  <si>
    <t>A8H5051</t>
  </si>
  <si>
    <t>Toner TN912 (Yield : 40,800)</t>
  </si>
  <si>
    <t>3.2 secs</t>
  </si>
  <si>
    <t>55 seconds</t>
  </si>
  <si>
    <t>8.8kWh/week</t>
  </si>
  <si>
    <t xml:space="preserve">TCP/IP (IPv4, IPv6), IPX/SPX (ND support), SMB (netBEUI), LPD, IPP 1.1, SNMP, HTTP, 10BaseT/100BaseT/1000 BaseT, USB 2.0, USB Host, </t>
  </si>
  <si>
    <t>MFD-BW_Ky_E_1</t>
  </si>
  <si>
    <t>1102P23AS0</t>
  </si>
  <si>
    <t>Ecosys M4125idn</t>
  </si>
  <si>
    <t>1T02P10AS0</t>
  </si>
  <si>
    <t>TK-6119 - 15,000 pges</t>
  </si>
  <si>
    <t>MK-6119 - 300000</t>
  </si>
  <si>
    <t>45 - 256</t>
  </si>
  <si>
    <t>MFD-BW_Ky_L_1</t>
  </si>
  <si>
    <t>1102P13AS0</t>
  </si>
  <si>
    <t>Ecosys M4132idn</t>
  </si>
  <si>
    <t>MFD-BW_Ky_L_2</t>
  </si>
  <si>
    <t>MK-7129 - 600000</t>
  </si>
  <si>
    <t>MFD-BW_Ky_M_1</t>
  </si>
  <si>
    <t>MFD-BW_Ky_M_2</t>
  </si>
  <si>
    <t>MFD-BW_Ky_M_3</t>
  </si>
  <si>
    <t>1102S33AS0</t>
  </si>
  <si>
    <t>1T02S50AS0</t>
  </si>
  <si>
    <t>TK-1174 - 7,200 pages</t>
  </si>
  <si>
    <t>MK-1154 - 100000</t>
  </si>
  <si>
    <t>512MB</t>
  </si>
  <si>
    <t>MFD-BW_Ky_H_1</t>
  </si>
  <si>
    <t>MFD-BW_Ky_H_2</t>
  </si>
  <si>
    <t>1T02NJ0AS0</t>
  </si>
  <si>
    <t>TK-6729 - 70,000 pages</t>
  </si>
  <si>
    <t>MK-6725 - 600000</t>
  </si>
  <si>
    <t>60 - 300</t>
  </si>
  <si>
    <t>MFD-BW_Ky_H_3</t>
  </si>
  <si>
    <t>MFD-BW_Ri_E_1</t>
  </si>
  <si>
    <t>A3, A4, A5, A6, B4, B5, B6</t>
  </si>
  <si>
    <t>4.6 seconds</t>
  </si>
  <si>
    <t>Maximum 1,200 x 1,200 dpi</t>
  </si>
  <si>
    <t>52 - 300 g/m²</t>
  </si>
  <si>
    <t>Standard: 1,200 sheets</t>
  </si>
  <si>
    <t>Maximum: 4,700 sheets</t>
  </si>
  <si>
    <t>100 Sheets</t>
  </si>
  <si>
    <t>100 sheets upgradable to 220 sheets single pass document feeder</t>
  </si>
  <si>
    <t>Maximum: 1,600 W
Ready mode: 58.3 W
Sleep mode: 0.84 W</t>
  </si>
  <si>
    <t>Memory: Standard: 2 GB
HDD: 320 GB</t>
  </si>
  <si>
    <t>YES - SMTP (Mail Server) Gateway and TCP/IP, POP, IMAP4</t>
  </si>
  <si>
    <t>Standard: 100 dpi, 200 dpi, 300 dpi, 400 dpi, 600 dpi</t>
  </si>
  <si>
    <t>Supported operating systems: Windows Vista/7/8/8.1/10,
Windows Server/2008/2008 R2/2012/2012 R2
Mac OS environments: Mac OS X v.10.7 or later
UNIX environments: Sun Solaris, HP-UX, SCO OpenServer, Red Hat Linux,
IBM AIX, IBM iSeries/AS/400-using OS/400 Host Print
Transform
SAP® R/3® environments: SAP® R/3</t>
  </si>
  <si>
    <t>Standard: PCL5e, PCL6, PDF Direct, PS3 (Emulation)
Option: Adobe PostScript3, Adobe PDF</t>
  </si>
  <si>
    <t>Circuit: PSTN, PBX
Compatibility: ITU-T (CCITT) G3
Resolution: 8 x 3.85 line/mm, 200 x 100 dpi (standard)
8 x 7.7 line/mm, 200 x 200 dpi (standard)
8 x 15.4 line/mm, 16 x 15.4 line/mm, 400 x 400 dpi (with
optional SAF memory)
Transmission speed: G3: 2 seconds (200 x 100 dpi, JBIG)
G3: 3 seconds (200 x 100 dpi, MMR)
Modem speed: Maximum: 33.6 Kbps</t>
  </si>
  <si>
    <t>MFD-BW_Ri_L_1</t>
  </si>
  <si>
    <t>Standby 19.4 dB</t>
  </si>
  <si>
    <t>MFD-BW_Ri_L_2</t>
  </si>
  <si>
    <t>Standard paper tray(s): A5 - A4
Bypass tray: A6 - A4</t>
  </si>
  <si>
    <t>5.4 seconds</t>
  </si>
  <si>
    <t>23 seconds</t>
  </si>
  <si>
    <t>300 dpi, 600 dpi</t>
  </si>
  <si>
    <t>600 dpi</t>
  </si>
  <si>
    <t>Standard paper trays: 60 - 90 gsm
Bypass tray: 60 - 157 gsm
Duplex tray: 64 - 90 gsm
Optional paper trays: 60 - 90gsm</t>
  </si>
  <si>
    <t>350 sheets</t>
  </si>
  <si>
    <t>Maximum: 1,350 sheets</t>
  </si>
  <si>
    <t>Maximum 1,100 W or less Ready mode 83.5 W or less</t>
  </si>
  <si>
    <t>RAM: 1,024 MB
HDD: 128 GB (Optional)</t>
  </si>
  <si>
    <t>100 - 600 dpi</t>
  </si>
  <si>
    <t>Standard: USB 2.0
Ethernet 10 base-T/100 base-TX
Option: Wireless LAN (IEEE 802.11a/g),
Bluetooth, Gigabit Ethernet, IEEE 1284</t>
  </si>
  <si>
    <t>TCP/IP, IPX/SPX (Optional)</t>
  </si>
  <si>
    <t>Windows®
 environments: Windows®
 XP, Windows®
 Vista, Windows®
7, Windows®
 Server 2003, Windows®
Server 2008, Terminal Service/Citrix
MetaFrame
Mac OS environments: Mac OS X Native v10.2 or later</t>
  </si>
  <si>
    <t>PCL5e, PCL6, XPS, Adobe®
 PostScript®
 3™</t>
  </si>
  <si>
    <t>MFD-BW_Ri_M_1</t>
  </si>
  <si>
    <t>2.9 seconds</t>
  </si>
  <si>
    <t>Standby 19.2 dB</t>
  </si>
  <si>
    <t xml:space="preserve">Maximum: 1,780 W
Ready mode: 48.8 W
Sleep mode: 0.82 W </t>
  </si>
  <si>
    <t>Standard: USB Host I/F, Ethernet 10 base-T/100
base-TX/1000 base-T
Option: Wireless LAN (IEEE 802.11a/b/g/n), Bluetooth,
USB Server for Second Network Interface, Bidirectional
IEEE 1284/ECP, USB 2.0</t>
  </si>
  <si>
    <t>Supported operating systems: Windows Vista/7/8/8.1/10,
Windows Server/2008/2008 R2/2012/2012 R2
Mac OS environments: Mac OS X v.10.7 or later
UNIX environments: Sun Solaris, HP-UX, SCO OpenServer, Red Hat Linux,
IBM AIX, IBM iSeries/AS/400-using OS/400 Host Print
Transform
SAP® R/3® environments: SAP® R/3®</t>
  </si>
  <si>
    <t xml:space="preserve">Standard: PCL5e, PCL6, PDF Direct, PS3 (Emulation)
Option: Adobe PostScript3, Adobe PDF
</t>
  </si>
  <si>
    <t>MFD-BW_Ri_M_2</t>
  </si>
  <si>
    <t>Standby 19.3 dB</t>
  </si>
  <si>
    <t>MFD-BW_Ri_M_3</t>
  </si>
  <si>
    <t>A4, A5, A6, B5, B6</t>
  </si>
  <si>
    <t>5 seconds</t>
  </si>
  <si>
    <t>Less than 21 seconds</t>
  </si>
  <si>
    <t>Maximum (1,200 x 1,200 dpi)</t>
  </si>
  <si>
    <t>52 - 162 g/m²</t>
  </si>
  <si>
    <t>Standard 1 x 500 Sheets</t>
  </si>
  <si>
    <t>Maximum: 1,600 sheets</t>
  </si>
  <si>
    <t>Maximum: 1,030 W
 Operating power: 587.81 W
 Ready mode: 107 W
 Sleep mode: Less than 0.9 W</t>
  </si>
  <si>
    <t>Standard: 100 - 600 dpi</t>
  </si>
  <si>
    <t>Standard: Ethernet 10 base-T/100 base-TX/1000 base-T
Option: Bi-directional IEEE 1284,
Wireless LAN (IEEE 802.11a/b/g/n)
USB Device Connectivity (Type B: 1 Port)</t>
  </si>
  <si>
    <t>Windows® environments: Windows® Vista, Windows® 7, Windows® 8,
Windows® 8.1, Windows® 10,
Windows® Server 2008, Windows® Server 2008R2,
Windows® Server 2012, Windows® Server 2012R2
Mac OS environments: Macintosh OS X v10.8 - v10.11
UNIX environments: UNIX Sun® Solaris: 9, 10
HP-UX: 11.x, 11i v2, 11i v3
SCO OpenServer: 5.0.7, 6.0
RedHat® Linux Enterprise: 4, 5, 6
IBM® AIX: V 5L, V5.3, V6.1, V7.1
SAP® R/3® environments: SAP® R/3® 3.x® or later, mySAP ERP 2004 or later</t>
  </si>
  <si>
    <t>Standard: PCL5e, PCL6, Adobe® PostScript® 3™,
PDF direct print
Option: XPS</t>
  </si>
  <si>
    <t>Circuit: PSTN, PBX
Compatibility: G3, ITU-T(T.37) Internet-Fax
Resolution: Standard: 8 x 3.85 line/mm, 200 x 100 dpi,
 8 x 7.7 line/mm, 200 x 200 dpi
Compression method: MH, MR, MMR, JBIG
Transmission speed: G3: 2 second(s) (200 x 100 dpi, JBIG)
Modem speed: Maximum: 33.6 Kbps
Scanning speed: 2.4 second(s)
Memory capacity: Standard: 4 MB
Memory backup: 1 hour</t>
  </si>
  <si>
    <t>MFD-BW_Ri_H_1</t>
  </si>
  <si>
    <t>MFD-BW_Ri_H_2</t>
  </si>
  <si>
    <t>A3, A4, A5, A6</t>
  </si>
  <si>
    <t>3.2 seconds</t>
  </si>
  <si>
    <t>Standby 18.8 dB</t>
  </si>
  <si>
    <t>Standard: 4,300 sheets</t>
  </si>
  <si>
    <t>Maximum: 8,300 sheets</t>
  </si>
  <si>
    <t xml:space="preserve">Maximum: 1,900 W
 Ready mode: 261/261/290W
 Low power mode: 165/167/198 W
 Sleep mode: 0.9 W </t>
  </si>
  <si>
    <t>Memory: Standard: 2GB
HDD: Standard: 320GB</t>
  </si>
  <si>
    <t>Maximum 600 dp</t>
  </si>
  <si>
    <t>Standard: SD slot, USB Host I/F, Ethernet 10
 base-T/100 base-TX/1000 base-T
 Option: IEEE 1284, Wireless LAN (IEEE 802.11a/b/
 g/n), USB 2.0 (Type B)</t>
  </si>
  <si>
    <t>Windows® environments: Windows® Vista, Windows® 7, Windows® 8,
 Windows® 8.1, Windows® Server 2003,
 Windows® Server 2003R2, Windows® Server 2008,
 Windows® Server 2008R2, Windows® Server 2012,
 Windows® Server 2012R2
Mac OS environments: Macintosh OS X v10.7 or later
UNIX environments: UNIX Sun® Solaris
 HP-UX
 SCO OpenServer
 RedHat® Linux
 IBM® AIX
SAP® R/3® environments: SAP® R/3®
Other supported environments: AS/400-using OS/ 400 Host Print
 Transform
 IBM iSeries</t>
  </si>
  <si>
    <t>Standard: PCL5e, PCL6, PDF direct print
 Option: XPS, Adobe® PostScript® 3™, IPDS</t>
  </si>
  <si>
    <t>Circuit: PSTN, PBX
Compatibility: ITU-T (CCITT) G3
Resolution: Standard: 8 x 3.85 line/mm, 200 x 100 dpi,
 8 x 7.7 line/mm, 200 x 200 dpi
 Option: 8 x 15.4 line/mm, 400 x 400 dpi,
 16 x 15.4 line/mm, 400 x 400 dpi
Transmission speed: G3: 2 seconds (200 x 100 dpi, JBIG),
 G3: 3 seconds (200 x 100 dpi, MMR)
Modem speed: Maximum: 33.6 Kbps</t>
  </si>
  <si>
    <t>MFD-BW_Ri_H_3</t>
  </si>
  <si>
    <t>300 seconds</t>
  </si>
  <si>
    <t>Standby 36.5 dB</t>
  </si>
  <si>
    <t>SFP-BW_Ko_L_1</t>
  </si>
  <si>
    <t>SFP-BW_Ko_L_2</t>
  </si>
  <si>
    <t>SFP-BW_Ko_M_1</t>
  </si>
  <si>
    <t>AADY011</t>
  </si>
  <si>
    <t>TNP58</t>
  </si>
  <si>
    <t>A6 - A4</t>
  </si>
  <si>
    <t>9 seconds or less</t>
  </si>
  <si>
    <t>Less than 90 seconds</t>
  </si>
  <si>
    <t>54 dB</t>
  </si>
  <si>
    <t>900 sheets</t>
  </si>
  <si>
    <t>NA</t>
  </si>
  <si>
    <t>520 W</t>
  </si>
  <si>
    <t>12 Months Standard Warranty. Where a Cost Per Copy Service Contract is in place Warranty is extended for duration of Service Contract</t>
  </si>
  <si>
    <t>USB-B 2.0 (rear)
10-Base-T/100-Base-TX/1000-BaseT 802.11 ac/a/b/g/n 2X2 MIMO</t>
  </si>
  <si>
    <t>TCP/IP (IPv4, IPv6), IPP, SNMP, HTTP, HTTPS</t>
  </si>
  <si>
    <t xml:space="preserve">Windows 7 (32/64), Windows 8.1 (32/64),
Windows 10 (32/64), Windows Server 2008 (32/64),
Windows Server 2008 R2, Windows Server 2012,
Windows Server 2012 R2, Windows Server 2016,
Macintosh OS X 10.6 or later, Linux, Netware
Windows 8/8.1 (32/64) 
Windows 10 (32/64) 
Windows Server 2008 (32/64) 
Windows Server 2008 R2 (64) 
Windows Server 2012 (64) 
Windows Server 2012 R2 
Windows Server 2016 
Macintosh OS X 10.9 or later 
Unix 
Linux 
Citrix 
SAP </t>
  </si>
  <si>
    <t>PostScript 3 (3016) Emulation,
PCL 6 (XL Version 3.0) Emulation, PCL 5e/c Emulation,
XPS ver.1.0
PostScript3 Emulation
XPS</t>
  </si>
  <si>
    <t>SFP-BW_Ko_M_2</t>
  </si>
  <si>
    <t>SFP-BW_Ko_H_1</t>
  </si>
  <si>
    <t>AADX090</t>
  </si>
  <si>
    <t>TNP54</t>
  </si>
  <si>
    <t>56 dB</t>
  </si>
  <si>
    <t>2,000 sheets</t>
  </si>
  <si>
    <t>620 W</t>
  </si>
  <si>
    <t>USB-B 2.0 (rear)
10-Base-T/100-Base-TX/1000-BaseT</t>
  </si>
  <si>
    <t xml:space="preserve">PostScript 3 (3016) Emulation,
PCL 6 (XL Version 3.0) Emulation, PCL 5e/c Emulation,
XPS ver.1.0
PostScript3 Emulation
XPS
PPDS Migration Tool
PDF v1.7 emulation 
HTML 
Direct Image 
</t>
  </si>
  <si>
    <t>SFP-BW_Ko_H_2</t>
  </si>
  <si>
    <t>SFP-BW_Ky_L_1</t>
  </si>
  <si>
    <t>SFP-BW_Ky_L_2</t>
  </si>
  <si>
    <t>SFP-BW_Ky_M_1</t>
  </si>
  <si>
    <t>1TO2RV0AS0</t>
  </si>
  <si>
    <t>TK-1154 - 3,000 pages</t>
  </si>
  <si>
    <t>MK-1154 - 100,000</t>
  </si>
  <si>
    <t>60 - 163</t>
  </si>
  <si>
    <t>256MB</t>
  </si>
  <si>
    <t>TCP/IP, FTP, LPR, Port9100, NetBEUI, Bonjour, IPP, IPP over SSL, LPD, WSD Print, POP3, SMTP, SNMP V1,2&amp;3, HTTP, HTTPS, Enhanced WSD, Enhanced WSD over SSL, IEEE 802.1X, LLTD</t>
  </si>
  <si>
    <t>SFP-BW_Ky_M_2</t>
  </si>
  <si>
    <t>1102RW3AS0</t>
  </si>
  <si>
    <t>Ecosys P2235DW</t>
  </si>
  <si>
    <t>USB 2.0 (Hi-Speed), Gigabit
Ethernet (10/100/1000), Wireless Lan</t>
  </si>
  <si>
    <t>SFP-BW_Ky_H_1</t>
  </si>
  <si>
    <t>1102RX3ASO</t>
  </si>
  <si>
    <t>Ecosys P2040DN</t>
  </si>
  <si>
    <t>1T02RY0AS0</t>
  </si>
  <si>
    <t>TK-1164 - 7,200 pages</t>
  </si>
  <si>
    <t>SFP-BW_Ky_H_2</t>
  </si>
  <si>
    <t>1T02T90AS0</t>
  </si>
  <si>
    <t>TK-3164 - 12,500 pages</t>
  </si>
  <si>
    <t>MK-3164 - 300,000</t>
  </si>
  <si>
    <t>SFP-BW_Ri_L_1</t>
  </si>
  <si>
    <t>SFP-BW_Ri_L_2</t>
  </si>
  <si>
    <t>SFP-BW_Ri_M_1</t>
  </si>
  <si>
    <t>Yield - 20000</t>
  </si>
  <si>
    <t>Yield - 120000</t>
  </si>
  <si>
    <t>A4~A6, custom size</t>
  </si>
  <si>
    <t>6.5 seconds</t>
  </si>
  <si>
    <t>Standby: Less than 16.5dB</t>
  </si>
  <si>
    <t>SFP-BW_Ri_M_2</t>
  </si>
  <si>
    <t>SP6430DN</t>
  </si>
  <si>
    <t>Black Toner - Yield 10000</t>
  </si>
  <si>
    <t>Yield - 25000</t>
  </si>
  <si>
    <t>Yield - 90000</t>
  </si>
  <si>
    <t>A3~A6, Custom size</t>
  </si>
  <si>
    <t>16.6 seconds</t>
  </si>
  <si>
    <t>300 dpi, 600 dpi, 1,200 dp</t>
  </si>
  <si>
    <t>56 - 220 g/m²</t>
  </si>
  <si>
    <t>Standard 600 sheets</t>
  </si>
  <si>
    <t>Maximum: 2,100 sheets</t>
  </si>
  <si>
    <t xml:space="preserve">Maximum: 552 W Energy Saver mode: 0.57 W
</t>
  </si>
  <si>
    <t>Memory: Standard: 512 MB
Maximum: 1 GB
HDD: 250 GB (Option)</t>
  </si>
  <si>
    <t>With HDD Option</t>
  </si>
  <si>
    <t>Standard: USB 2.0, USB Host I/F,
Gigabit Ethernet
Option: Bi-directional IEEE 1284,
Wireless LAN (IEEE 802.11a/b/g/n),
USB Device Server</t>
  </si>
  <si>
    <t>TCP/IP, IPX/SPX</t>
  </si>
  <si>
    <t>Standard: PCL5e, PCL6, Adobe®
PostScript® 3™, PDF</t>
  </si>
  <si>
    <t>SFP-BW_Ri_H_1</t>
  </si>
  <si>
    <t>Black Toner - Yield 12000</t>
  </si>
  <si>
    <t>17 seconds</t>
  </si>
  <si>
    <t>Standby: Less than 20dB</t>
  </si>
  <si>
    <t xml:space="preserve">Maximum: 1,110 W
Energy Saver mode: 1 W
</t>
  </si>
  <si>
    <t>Memory: Standard: 512 MB
Maximum: 1,024 MB</t>
  </si>
  <si>
    <t>Standard: USB 2.0, USB Host I/F, Gigabit Ethernet
Option: Bi-directional IEEE 1284, Wireless LAN
(IEEE 802.11a/b/g/n)</t>
  </si>
  <si>
    <t>TCP/IP, IPX/SPX (Option)</t>
  </si>
  <si>
    <t>Standard: PCL5e, PCL6, Adobe® PostScript® 3™,
PDF direct print
Option: XPS, IPDS</t>
  </si>
  <si>
    <t>SFP-BW_Ri_H_2</t>
  </si>
  <si>
    <t>Black Toner Yield - 10400</t>
  </si>
  <si>
    <t>A4, B5, A5, B6, A6, Legal, Letter, HLT, Executive, F,
Foolscap, Folio, 16K,
Custom size: Min. 100mm x 148mm, Max. 216mm x
356mm</t>
  </si>
  <si>
    <t>Approx. 5 seconds</t>
  </si>
  <si>
    <t>Approx. 17 seconds</t>
  </si>
  <si>
    <t>Standby: Less than 39dB</t>
  </si>
  <si>
    <t>Operating: 573.2 W
Standby: 91.2 W
Sleep Mode: 0.58 W</t>
  </si>
  <si>
    <t>Standard: USB 2.0, USB Host I/F, Gigabit Ethernet
Option: Bi-directional IEEE 1284, Wireless LAN (IEEE
802.11a/b/g/n)</t>
  </si>
  <si>
    <t>Standard: PCL5e, PCL6, Adobe® PostScript® 3™, PDF
direct print
Option: IPDS</t>
  </si>
  <si>
    <t>SFP-Colour_Ko_L_1</t>
  </si>
  <si>
    <t>(K) TNP50K (4.7K)</t>
  </si>
  <si>
    <t>12.9 seconds or less</t>
  </si>
  <si>
    <t xml:space="preserve"> less than 36 seconds</t>
  </si>
  <si>
    <t>51 dB</t>
  </si>
  <si>
    <t>Trays: 60-90gsm
Bypass: 60 - 210gsm</t>
  </si>
  <si>
    <t>350 sheets (inc Bypass tray)</t>
  </si>
  <si>
    <t>850 sheets</t>
  </si>
  <si>
    <t>Automatic Duplex Unit</t>
  </si>
  <si>
    <t>less than 1kW (max)</t>
  </si>
  <si>
    <t>10Base-T/100Base-TX/1000 Base-T Ethernet, USB 2.0, USB host</t>
  </si>
  <si>
    <t>TCP/IP (IPv4, IPv6), SMB, LPD, IPP, SNMP, HTTP, HTTPS</t>
  </si>
  <si>
    <t>Windows XP (32/64), Windows Vista (32/64), Windows 7 (32/64), Windows 8 (32/64), Windows Server 2003 (32/64), Windows Server 2003 R2 (32/64), Windows Server 2008 (32/64), Windows Server 2008 R2 (64), Windows Server 2012 (64), Macintosh OS X (Ver. 10.8.2 or later), Linux (Red Hat Enterprise Linux 5 or later), Citrix</t>
  </si>
  <si>
    <t>PCL5e/c Emulation
PCL XL Ver. 3.0 Emulation
PostScript 3 Emulation (3016)
XPS Ver. 1.0 (if HDD is installed)
PPML/GA2.2 (if HDD is installed)
PPML VDX (if HDD is installed)
OpenXPS (if HDD is installed)
PDF1.7 (if HDD is installed)</t>
  </si>
  <si>
    <t>SFP-Colour_Ko_L_2</t>
  </si>
  <si>
    <t>SFP-Colour_Ko_M_1</t>
  </si>
  <si>
    <t>SFP-Colour_Ko_M_2</t>
  </si>
  <si>
    <t>SFP-Colour_Ko_H_1</t>
  </si>
  <si>
    <t>SFP-Colour_Ko_H_2</t>
  </si>
  <si>
    <t>SFP-Colour_Ky_L_1</t>
  </si>
  <si>
    <t>SFP-Colour_Ky_L_2</t>
  </si>
  <si>
    <t>1102RC3AS0</t>
  </si>
  <si>
    <t>Ecosys P5026CDN</t>
  </si>
  <si>
    <t xml:space="preserve">1T02R70AS0, 1T02R7CAS0,1T02R7BAS0, 1T02R7AAS0   </t>
  </si>
  <si>
    <t>TK-5244(K 4000 pages, C, M, Y 3000 pages ea)</t>
  </si>
  <si>
    <t>512 MB</t>
  </si>
  <si>
    <t>SFP-Colour_Ky_M_1</t>
  </si>
  <si>
    <t>SFP-Colour_Ky_M_2</t>
  </si>
  <si>
    <t>SFP-Colour_Ky_H_1</t>
  </si>
  <si>
    <t>SFP-Colour_Ky_H_2</t>
  </si>
  <si>
    <t>SFP-Colour_Ri_L_1</t>
  </si>
  <si>
    <t>Black</t>
  </si>
  <si>
    <t>A4, A5, A6, B5, B6, Legal, Letter, HLT, Executive, Foolscap, Folio, Envelopes (Com10, Monarch, C5, C6, DL) Custom size: (Min.) 90 x 148 mm, (Max.) 216 x 356 mm</t>
  </si>
  <si>
    <t>14 seconds or less</t>
  </si>
  <si>
    <t>30 seconds or less</t>
  </si>
  <si>
    <t>20.4 dB</t>
  </si>
  <si>
    <t>Up to 2,400 x 600 dpi</t>
  </si>
  <si>
    <t>Standard Tray: 60 - 160 g/m²; Optional Tray: 60 - 105 g/m²; Bypass: 60 - 160 g/m²; Duplex: 60 - 90 g/m²</t>
  </si>
  <si>
    <t>Standard: 251 sheets</t>
  </si>
  <si>
    <t>Maximum: 751 sheets</t>
  </si>
  <si>
    <t>1.2 W</t>
  </si>
  <si>
    <t xml:space="preserve">USB2.0 port, 10Base-T/100Base-TX, IEEE802.11b/g/n, NFC Tag
</t>
  </si>
  <si>
    <t xml:space="preserve">TCP/IP, IPP, Bonjour
</t>
  </si>
  <si>
    <t>Windows® Vista, Windows® 7, Windows® 8.1, Windows® 10, Windows® Server 2008/R2, Windows® Server 2012/R2; Macintosh OS X Native V10.9-10.12; Linux; Unix Filter</t>
  </si>
  <si>
    <t>PCL 6/5c, Postscript 3 Emulation</t>
  </si>
  <si>
    <t>SFP-Colour_Ri_L_2</t>
  </si>
  <si>
    <t>Transfer Unit - 90000</t>
  </si>
  <si>
    <t xml:space="preserve">Standard paper tray(s): A4, A5, B5, Legal, Letter,
Executive, Foolscap, Folio, F/GL
Bypass tray: A4, A5, A6, B5, B6, Legal, Letter, Half
Letter, Executive, F/GL, Foolscap, Folio
</t>
  </si>
  <si>
    <t>Full colour: 13.5 seconds
B/W: 13.5 seconds</t>
  </si>
  <si>
    <t xml:space="preserve">20 Seconds
</t>
  </si>
  <si>
    <t>28.3 dB</t>
  </si>
  <si>
    <t>Standard paper tray(s): A4, A5, B5, Legal, Letter,
Executive, Foolscap, Folio, F/GL
Bypass tray: A4, A5, A6, B5, B6, Legal, Letter, Half
Letter, Executive, F/GL, Foolscap, Folio</t>
  </si>
  <si>
    <t xml:space="preserve">Paper tray(s): 60 - 163 g/m²
Bypass tray: 60 - 220 g/m²
</t>
  </si>
  <si>
    <t xml:space="preserve"> Standard 600 Sheets </t>
  </si>
  <si>
    <t>Maximum: 1,100 sheets</t>
  </si>
  <si>
    <t>Maximum: 1.3 kW
Ready mode: 65 W or less
Sleep mode: Less than 0.5 W</t>
  </si>
  <si>
    <t>Standard: USB 2.0, USB Host I/F, Ethernet 10 baseT/100
base-TX/1000 base-T
Option: Wireless LAN (IEEE 802.11a/b/g/n)</t>
  </si>
  <si>
    <t>TCP/IP (IP v6)</t>
  </si>
  <si>
    <t>Windows® environments: Windows® Vista, Windows® 7, Windows® 8,
Windows® 8.1, Windows® 10, Windows® Server
2008, Windows® Server 2008R2, Windows® Server
2012, Windows® Server 2012R2
Mac OS environments: Macintosh OS X Native v10.7 or later (Adobe®
PostScript® 3™)
UNIX environments: UNIX Sun® Solaris: 2.9, 2.10 HP-UX: 11.x, 11i v2, 11i v3
SCO OpenServer: 5.0.7, 6.0 RedHat® Linux
Enterprise: 4, 5, 6 IBM® AIX: 5L v5.3, 5L v6.1, 5L v7.1
SAP® R/3® environments: SAP® R/3®</t>
  </si>
  <si>
    <t>Standard: PCL5c, PCL6, Adobe® PostScript® 3™,
PDF direct print</t>
  </si>
  <si>
    <t>SFP-Colour_Ri_M_1</t>
  </si>
  <si>
    <t>50 seconds or less</t>
  </si>
  <si>
    <t xml:space="preserve"> 52 – 220 gsm</t>
  </si>
  <si>
    <t>Standard 650 Sheets</t>
  </si>
  <si>
    <t>Maximum Paper Capacity: 2,300 sheets</t>
  </si>
  <si>
    <t>(Standard/Maximum): 1 GB RAM
Hard Disk Drive: 320 GB (Optional)</t>
  </si>
  <si>
    <t>TCP/IP (IPv4/IPv6)</t>
  </si>
  <si>
    <t>SFP-Colour_Ri_M_2</t>
  </si>
  <si>
    <t>SFP-Colour_Ri_H_1</t>
  </si>
  <si>
    <t xml:space="preserve"> A4,A5,B4, B5,B6,
Letter Size, Legal size</t>
  </si>
  <si>
    <t>F/C:Less than 15 Seconds
B/W: Less than 10 Seconds</t>
  </si>
  <si>
    <t>37.6 dB</t>
  </si>
  <si>
    <t>300 x 300 dpi/600 x 600 dpi/
1200 x1200 dpi</t>
  </si>
  <si>
    <t xml:space="preserve">Power Consumption 771W or less
(Operating)
Power Consumption 1W or less
(Sleep Mode) </t>
  </si>
  <si>
    <t>Connection Type 10/100/1000Base-TX Ethernet (RJ45)
Gigabit Network Interface USB 2.0
High Speed Type B (for direct computer
connection) Dual USB 2.0 Host Type A
(for external device connection) Dual SD
Card Slots (for expanded functions/device
customization)
Optional Interfaces USB Device Server
IEEE 802.11a/b/g/n Wireless LAN
IEEE 1284/ECP Parallel Interface
NIC2 Port</t>
  </si>
  <si>
    <t>Supported Operating Windows Vista/7/8/8.1/Server2003/
Systems Server2008/Server2008 R2/
Server2012/Server2012 R2
CPS/XenApp *PCL
Mac OS (X10.7 - X10.10) *PS only</t>
  </si>
  <si>
    <t>PCL6/5c
Adobe PostScript 3
PDF
Optional: PictBridge</t>
  </si>
  <si>
    <t>SFP-Colour_Ri_H_2</t>
  </si>
  <si>
    <t>SPC840DN</t>
  </si>
  <si>
    <t>Yield - 160000</t>
  </si>
  <si>
    <t>Full color: 5.7 B/W: 4.0</t>
  </si>
  <si>
    <t>19.4 dB</t>
  </si>
  <si>
    <t>Maximum: 1,850 / 1,850 W
Ready mode: 52.1 / 52.1 W
Sleep mode: 0.81 / 0.81 W</t>
  </si>
  <si>
    <t>Maximum: 2GB (Standard) Hard Disk Drive: 320 GB (Optional)</t>
  </si>
  <si>
    <t>Standard: SD slot, USB Host Interface, Ethernet 10
base-T, Ethernet 100 base-TX, Ethernet 1000
Base-T, *Bluetooth and Wireless LAN (IEEE
802.11a/b/g/n) in Smart Operation Panel
Option: Wireless LAN(IEEE 802.11a/b/g/n), USB Server
for Second Network Interface, Bidirectional
IEEE1284/ECP, USB 2.0 (Type B)</t>
  </si>
  <si>
    <t xml:space="preserve">10Base-T/100Base-Tx/1000Base-T (Gigabit Ethernet)
</t>
  </si>
  <si>
    <t>Windows® environments: Windows® Vista / 7 / 8.1 / 10, Windows® Server 2008 /
2008R2 / 2012 / 2012R2
Mac OS environments: Macintosh OS X Native v.10.8 or later
UNIX environments: UNIX Sun® Solaris, HP-UX, SCO OpenServer, RedHat® Linux
Enterprise, IBM® AIX
SAP® R/3® environments: SAP® R/3®</t>
  </si>
  <si>
    <t>Standard : PCL5e/c, PCL6(XL), PostScript3 Emulation,
PDF Direct Emulation, Media Print (JPEG/TIFF)
Option: Adobe® PostScript® 3™, XPS, PictBridge</t>
  </si>
  <si>
    <t>Types</t>
  </si>
  <si>
    <t>MFD Levels</t>
  </si>
  <si>
    <t>Entry</t>
  </si>
  <si>
    <t>Low</t>
  </si>
  <si>
    <t>Medium</t>
  </si>
  <si>
    <t>High</t>
  </si>
  <si>
    <t>SFP Levels</t>
  </si>
  <si>
    <t>MFDSups</t>
  </si>
  <si>
    <t>DeviceLists</t>
  </si>
  <si>
    <t>MFD-Colour Entry</t>
  </si>
  <si>
    <t>MFD-BW Low</t>
  </si>
  <si>
    <t>MFD-Colour Low</t>
  </si>
  <si>
    <t>Not Offered</t>
  </si>
  <si>
    <t>Definition</t>
  </si>
  <si>
    <t>Under 30ppm</t>
  </si>
  <si>
    <t>40 - 59ppm</t>
  </si>
  <si>
    <t>60 + ppm</t>
  </si>
  <si>
    <t>40+ppm</t>
  </si>
  <si>
    <t>Device #</t>
  </si>
  <si>
    <t>Device Name</t>
  </si>
  <si>
    <t>MFD-Colour Medium</t>
  </si>
  <si>
    <t>MFD-Colour High</t>
  </si>
  <si>
    <t>MFD-BW Entry</t>
  </si>
  <si>
    <t>MFD-BW Medium</t>
  </si>
  <si>
    <t>MFD-BW High</t>
  </si>
  <si>
    <t>SFP-Colour Low</t>
  </si>
  <si>
    <t>SFP-Colour Medium</t>
  </si>
  <si>
    <t>SFP-Colour High</t>
  </si>
  <si>
    <t>SFP-BW Low</t>
  </si>
  <si>
    <t>SFP-BW Medium</t>
  </si>
  <si>
    <t>SFP-BW High</t>
  </si>
  <si>
    <t>Location</t>
  </si>
  <si>
    <t>Location:</t>
  </si>
  <si>
    <t>Zone 1 (Perth Metro)</t>
  </si>
  <si>
    <t>COPY ID</t>
  </si>
  <si>
    <t>Copy Sup</t>
  </si>
  <si>
    <t>% Colour Prints 
(0-100%)</t>
  </si>
  <si>
    <t>Copy Level</t>
  </si>
  <si>
    <t>Detail Type</t>
  </si>
  <si>
    <t>Low SFP 1</t>
  </si>
  <si>
    <t>Low SFP 2</t>
  </si>
  <si>
    <t>Medium SFP 1</t>
  </si>
  <si>
    <t>Medium SFP 2</t>
  </si>
  <si>
    <t>High SFP 1</t>
  </si>
  <si>
    <t>High SFP 2</t>
  </si>
  <si>
    <t>Filter Settings (for TCO Figures)</t>
  </si>
  <si>
    <t>TCO Ranking Key</t>
  </si>
  <si>
    <t xml:space="preserve">Lowest price Quartile </t>
  </si>
  <si>
    <t>Lowest price Option</t>
  </si>
  <si>
    <t>Highest price quartile</t>
  </si>
  <si>
    <t>Highest price</t>
  </si>
  <si>
    <t>Mid ranked pricing</t>
  </si>
  <si>
    <r>
      <rPr>
        <b/>
        <sz val="10"/>
        <color rgb="FFFF0000"/>
        <rFont val="Arial"/>
        <family val="2"/>
      </rPr>
      <t>Note:</t>
    </r>
    <r>
      <rPr>
        <b/>
        <sz val="10"/>
        <rFont val="Arial"/>
        <family val="2"/>
      </rPr>
      <t xml:space="preserve"> </t>
    </r>
    <r>
      <rPr>
        <sz val="10"/>
        <rFont val="Arial"/>
        <family val="2"/>
      </rPr>
      <t>all device rank cells shaded where 4 or less devices.</t>
    </r>
  </si>
  <si>
    <t>Min_Discounts</t>
  </si>
  <si>
    <t>Inc in Cost per Copy</t>
  </si>
  <si>
    <t>Other Comments</t>
  </si>
  <si>
    <t>Remote Support T1</t>
  </si>
  <si>
    <t>Remote Implementation or support</t>
  </si>
  <si>
    <t>On-Site Implementation Specialist</t>
  </si>
  <si>
    <t>On-Site Application Implementation</t>
  </si>
  <si>
    <t>Business Analyst</t>
  </si>
  <si>
    <t>IT Asset Auditor</t>
  </si>
  <si>
    <t>Solution Architect</t>
  </si>
  <si>
    <t>Change Manager</t>
  </si>
  <si>
    <t xml:space="preserve">Project Manager </t>
  </si>
  <si>
    <t>Consultant Automation Solutions</t>
  </si>
  <si>
    <t>Service Type</t>
  </si>
  <si>
    <t>Service Description</t>
  </si>
  <si>
    <t>AWMS Software installation</t>
  </si>
  <si>
    <t>Based on a 7.5 hour work day</t>
  </si>
  <si>
    <t>Professional Services</t>
  </si>
  <si>
    <t>Consultation, Assessment and Audit</t>
  </si>
  <si>
    <t>Project Management</t>
  </si>
  <si>
    <t>Implementation of MFDs/SFPs</t>
  </si>
  <si>
    <t>Senior Project/Program Manager</t>
  </si>
  <si>
    <t>Responsible for definition, facilitation and completion of large scale and/or complex programs of work</t>
  </si>
  <si>
    <t>Project Manager</t>
  </si>
  <si>
    <t>Responsible for definition, facilitation and completion of medium to small scale projects</t>
  </si>
  <si>
    <t>Project Co-orddinator</t>
  </si>
  <si>
    <t>Capable of coordinating onsite resources. Typically works with a Project Manager of large scale projects</t>
  </si>
  <si>
    <t>Software Solution Architecture Design</t>
  </si>
  <si>
    <t>Solution Analyst</t>
  </si>
  <si>
    <t>Software Solution Implementation</t>
  </si>
  <si>
    <t>Solutions Consultant</t>
  </si>
  <si>
    <t>Consultancy Services</t>
  </si>
  <si>
    <t>Managed Services Business Analyst</t>
  </si>
  <si>
    <t>Print Environment Business Analysis</t>
  </si>
  <si>
    <t>Print Fleet Auditor</t>
  </si>
  <si>
    <t>Physical Print Environment Audit Services</t>
  </si>
  <si>
    <t>Training</t>
  </si>
  <si>
    <t>Customised Trainer</t>
  </si>
  <si>
    <t>Designs and delivers customised training and/or Software Solutions Training</t>
  </si>
  <si>
    <t>Valet Services</t>
  </si>
  <si>
    <t>Senior Valet Zone 1 Sites</t>
  </si>
  <si>
    <t>Delivers advanced Valet Services within Zone 1 locations. Minimum contract terms and hours apply</t>
  </si>
  <si>
    <t>Valet Zone 1 Sites</t>
  </si>
  <si>
    <t>Delivers basic onsite Valet Services within Zone 1 locations. Minimum contract terms and hours apply</t>
  </si>
  <si>
    <t>Prof_Services</t>
  </si>
  <si>
    <t>Software Installation Services</t>
  </si>
  <si>
    <t xml:space="preserve">Professional Services provided by Kyocera </t>
  </si>
  <si>
    <t>Software installation Services are confirmed after determining the requirements</t>
  </si>
  <si>
    <t>Solution Consulting Services</t>
  </si>
  <si>
    <t>Software Solution Consulting to determine Document and Printing requirements</t>
  </si>
  <si>
    <t>Site Audit Services</t>
  </si>
  <si>
    <t xml:space="preserve">Audit Service for hardware optimisation </t>
  </si>
  <si>
    <t>10 Hours Professional Services</t>
  </si>
  <si>
    <t>10 Hour block of Professional Services puchased in advance</t>
  </si>
  <si>
    <t>20 Hours Professional Services</t>
  </si>
  <si>
    <t>Table 1 - Print Software</t>
  </si>
  <si>
    <t>Equitrac Suite</t>
  </si>
  <si>
    <t>Print Management</t>
  </si>
  <si>
    <t>Perpetual</t>
  </si>
  <si>
    <t>Per Site</t>
  </si>
  <si>
    <t>Equitrac Print Server</t>
  </si>
  <si>
    <t>Equitrac PCC</t>
  </si>
  <si>
    <t>Per Device</t>
  </si>
  <si>
    <t>PaperCut MF</t>
  </si>
  <si>
    <t>PaperCut MF Embedded</t>
  </si>
  <si>
    <t>Streamline NX Base</t>
  </si>
  <si>
    <t>Device Management</t>
  </si>
  <si>
    <t>StreamLine NX Print</t>
  </si>
  <si>
    <t>StreamLine NX Scan</t>
  </si>
  <si>
    <t>Scan</t>
  </si>
  <si>
    <t>StreamLine NX PC Client</t>
  </si>
  <si>
    <t>Per User</t>
  </si>
  <si>
    <t>GlobalScan NX Server</t>
  </si>
  <si>
    <t>GlobalScan NX Embedded</t>
  </si>
  <si>
    <t>ESA Transformer</t>
  </si>
  <si>
    <t>Ezescan DM Bundle</t>
  </si>
  <si>
    <t>Type of Software</t>
  </si>
  <si>
    <t>License Period Type</t>
  </si>
  <si>
    <t>License Price Basis</t>
  </si>
  <si>
    <t>36 Months Maintenance and Support Included</t>
  </si>
  <si>
    <t>Core software required to run the print management solution that is compatible with alll print devices on the network</t>
  </si>
  <si>
    <t>Print Management system with  Enterprise licensing available subject to users and network topology. Annual Maintenance and Support options are available. Please refer to Ricoh Attachment 34 - Equitrac Office brochure.</t>
  </si>
  <si>
    <t>12 Months Maintenance and Support Included</t>
  </si>
  <si>
    <t>Compatible with Equitrac core system and MFD's, providing additional Print Server configuration</t>
  </si>
  <si>
    <t xml:space="preserve">Additional Print Servers to suit Equitrac based on number of print devices and/or Print Servers.  Annual Maintenance and Support options are available. </t>
  </si>
  <si>
    <t>All MFD's beginning with MP or MPC. Required for Equitrac Follow-You Printing</t>
  </si>
  <si>
    <t xml:space="preserve">Embedded component to suit Equitrac providing Print, Copy Control (PCC) at the MFD.  Annual Maintenance and Support options aree available. </t>
  </si>
  <si>
    <t xml:space="preserve">Print Management system with 1000 users included. Please refer to Ricoh Attachment 35 - PaperCut Brochure.  Annual Maintenance and Support options are available. </t>
  </si>
  <si>
    <t xml:space="preserve"> Ricoh MFD's beginning with MP or MPC requiring Papercut Find-Me</t>
  </si>
  <si>
    <t xml:space="preserve">Papercut embedded MFD component provideing  Print, Copy Control.  Annual Maintenance and Support options are available. </t>
  </si>
  <si>
    <t>Compatible with all Ricoh Devices</t>
  </si>
  <si>
    <t>Ricoh device management Application.  Annual Maintenance and Support options are available. Please refer to Ricoh Attachment 36 - Streamline NX Base Brochure.</t>
  </si>
  <si>
    <t xml:space="preserve"> All Ricoh MFD's, requires StreamLine NX Base</t>
  </si>
  <si>
    <t xml:space="preserve">Optional Print Management for StreamLine NX Base.  Annual Maintenance and Support options are available. </t>
  </si>
  <si>
    <t xml:space="preserve"> All Ricoh MFD's, requires StreamLine NX Base and Print</t>
  </si>
  <si>
    <t xml:space="preserve">Optional Scan Management for StreamLine NX Base.  Annual Maintenance and Support options are available. </t>
  </si>
  <si>
    <t>All Ricoh MFDs, requires StreamLine NX Base and Print</t>
  </si>
  <si>
    <t xml:space="preserve">Optional Print Client providing Hybrid Serverless Printing.  Annual Maintenance and Support options are available. </t>
  </si>
  <si>
    <t>Core software required for Scan Management Application providing workflow with OCR/Searchable PDF/PDF/a.</t>
  </si>
  <si>
    <t>Scan Management Application providing workflow with OCR/Searchable PDF/PDF/a.  Annual Maintenance and Support options are available. Please refer to Ricoh Attachment 37 - GlobalScan Brochure.</t>
  </si>
  <si>
    <t xml:space="preserve"> Ricoh MFD's beginning with MP or MPC, compatible with GlobalScan NX</t>
  </si>
  <si>
    <t xml:space="preserve">Embedded application.  Annual Maintenance and Support options aree available. </t>
  </si>
  <si>
    <t xml:space="preserve"> Ricoh MFD's beginning with MP or MPC</t>
  </si>
  <si>
    <t>Scan Application providing OCR/Searchable PDF/PDF/a.  Annual Maintenance and Support options are available.  Please refer to Ricoh Attachment 38 - ESA Transformer Brochure.</t>
  </si>
  <si>
    <t>All network scannable MFD's,  Ricoh MFD's beginning with MP or MPC and compatible with various backend systems.</t>
  </si>
  <si>
    <t>Scan middleware application providing workflow,OCR, searchable PDF/a and document management integration.  Annual Maintenance and Support options are available.  Please refer to Ricoh Attachment 39 -  EzeScan Brochure.</t>
  </si>
  <si>
    <t>Devices Compatible With</t>
  </si>
  <si>
    <t>Other Software related pricing</t>
  </si>
  <si>
    <t>Min (%) Discount</t>
  </si>
  <si>
    <t>ApeosWare Management Suite 2.1 (AWMS) Enterprise Package for Education</t>
  </si>
  <si>
    <t>Server Software</t>
  </si>
  <si>
    <t>Annual maintenance &amp; support applies at the end of 3yrs. Updates, patches are inclusive, cost for version upgrades may apply. Annual maintenance after the 3 years are charged at $814 per year</t>
  </si>
  <si>
    <t xml:space="preserve">Other Server Options are available including Entry &amp; Small Business Edition, which enable alternate configurations and options. Pricing assumes single print server. Perpetual licensing based on annual maintenance &amp; support.  </t>
  </si>
  <si>
    <t>Annual maintenance &amp; support applies at the end of 3yrs. Updates, patches are inclusive, Version upgrades apply.Annual maintenance after the 3 years are charged at $1,159.40 per year</t>
  </si>
  <si>
    <t>AWMS2 Enterprise Edition</t>
  </si>
  <si>
    <t>Embedded Device License</t>
  </si>
  <si>
    <t>AWMS2 - 1 Device License</t>
  </si>
  <si>
    <t>AWMS2 - 5 Device Licenses</t>
  </si>
  <si>
    <t>AWMS2 - 10 Device Licenses</t>
  </si>
  <si>
    <t>AWMS2 - 50 Device Licenses</t>
  </si>
  <si>
    <t>AWMS2 - 100 Device Licenses</t>
  </si>
  <si>
    <t>Annual maintenance after the 3 years are charged at $70.40 per year</t>
  </si>
  <si>
    <t xml:space="preserve">Eligible Third Party Devices may require additonal connection &amp; release components. Perpetual licensing based on annual maintenance &amp; support. </t>
  </si>
  <si>
    <t>Annual maintenance after the 3 years are charged at $316.80 per year</t>
  </si>
  <si>
    <t>Annual maintenance after the 3 years are charged at $598.40 per year</t>
  </si>
  <si>
    <t>Annual maintenance after the 3 years are charged at $2,640 per year</t>
  </si>
  <si>
    <t>Annual maintenance after the 3 years are charged at $4,576 per year</t>
  </si>
  <si>
    <t>AWMS2 Scan &amp; Connect for ECM - 1 Device License</t>
  </si>
  <si>
    <t>AWMS2 Scan &amp; Connect for ECM 10 - Device Licenses</t>
  </si>
  <si>
    <t>Device License (Connector)</t>
  </si>
  <si>
    <t>AWMS2 - 1 Mobile User License</t>
  </si>
  <si>
    <t>User License</t>
  </si>
  <si>
    <t>AWMS2 - 5 Mobile User Licenses</t>
  </si>
  <si>
    <t>AWMS2 - 10 Mobile User Licenses</t>
  </si>
  <si>
    <t>AWMS2 - 50 Mobile User Licenses</t>
  </si>
  <si>
    <t>AWMS2 - 100 Mobile User Licenses</t>
  </si>
  <si>
    <t>AWMS2 - 500 Mobile User Licenses</t>
  </si>
  <si>
    <t>User License (Mobile)</t>
  </si>
  <si>
    <t>Annual maintenance after the 3 years are charged at $5.50 per year</t>
  </si>
  <si>
    <t>Supports Android 4.0.4 and above &amp; iOS 7.x and above</t>
  </si>
  <si>
    <t xml:space="preserve">AWMS Mobile App is available for free download via the repective online App Store.  Perpetual licensing based on annual maintenance &amp; support. </t>
  </si>
  <si>
    <t>Annual maintenance after the 3 years are charged at $24.51 per year</t>
  </si>
  <si>
    <t>Annual maintenance after the 3 years are charged at $47.00 per year</t>
  </si>
  <si>
    <t>Annual maintenance after the 3 years are charged at $151.61 per year</t>
  </si>
  <si>
    <t>Annual maintenance after the 3 years are charged at $252.69 per year</t>
  </si>
  <si>
    <t>Annual maintenance after the 3 years are charged at $758.09 per year</t>
  </si>
  <si>
    <t>Annual maintenance after the 3 years are charged at $77 per year</t>
  </si>
  <si>
    <t xml:space="preserve">In addition to ECM Connectors, AWMS as standard includes OCR scan to Email Inbox &amp; Network Shared Folders.  Perpetual licensing based on annual maintenance &amp; support. </t>
  </si>
  <si>
    <t>Annual maintenance after the 3 years are charged at $616 per year</t>
  </si>
  <si>
    <t>Max CUA Hourly Rate</t>
  </si>
  <si>
    <t>PaperCut MF Software</t>
  </si>
  <si>
    <t>Pull Printing/Print Tracking</t>
  </si>
  <si>
    <t>Kyocera Net Manager Software</t>
  </si>
  <si>
    <t xml:space="preserve">Per Printer </t>
  </si>
  <si>
    <t>Print &amp; Follow MFD Application</t>
  </si>
  <si>
    <t xml:space="preserve">  Pulll Printing </t>
  </si>
  <si>
    <t>Per Kyocera MFD</t>
  </si>
  <si>
    <t>Equitrac Office Software</t>
  </si>
  <si>
    <t>SMB User License</t>
  </si>
  <si>
    <t xml:space="preserve">Discounts apply for Bulk User Education &amp; NG License holders
Embedded License Per MFD
Software Annual Maintenance
</t>
  </si>
  <si>
    <t>Kyocera and most other Brands</t>
  </si>
  <si>
    <t xml:space="preserve">Based on 25 Users inc 1yr SWMaint
Includes additional Site Server license
Subject to Scope of Works </t>
  </si>
  <si>
    <t>KMN Basic edition License per Printer/Embedded
KMN Pro edition License per Printer/Embedded</t>
  </si>
  <si>
    <t>Integrates with Kyocera Embedded Models and some other brands via release module</t>
  </si>
  <si>
    <t>No ongoing Software Maintenance required</t>
  </si>
  <si>
    <t>Kyocera TASKalfa models only</t>
  </si>
  <si>
    <t>No Ongoing SW Maintenance required
Recommended up to 5 MFD's</t>
  </si>
  <si>
    <t>Various licensing options available to suit the requirement</t>
  </si>
  <si>
    <t>No User limit. Based on 1 Print Device
Unlimited Site Server licenses,  Inc 1yr SWMaint Subject to Scope of Works</t>
  </si>
  <si>
    <t xml:space="preserve">Based on 25 Users inc 1yr SWMaint Subject to Scope of Works </t>
  </si>
  <si>
    <t>Y Soft Safe Q Print Management Suite</t>
  </si>
  <si>
    <t>YSoft SafeQ6 PRINT MANAGEMENT SUITE embedded MFD License with Gold SLA including first year support</t>
  </si>
  <si>
    <t xml:space="preserve">One year Software support for YSoft SafeQ6 PRINT MANAGEMENT SUITE embedded MFD License with Gold SLA </t>
  </si>
  <si>
    <t>Subscription</t>
  </si>
  <si>
    <t xml:space="preserve">Device management fee per MFD </t>
  </si>
  <si>
    <t>YSoft SafeQ6 PRINT MANAGEMENT SUITE non embedded MFD License with Gold SLA including first year support</t>
  </si>
  <si>
    <t xml:space="preserve">One year Software Support for YSoft SafeQ6 PRINT MANAGEMENT SUITE non embedded MFD License with Gold SLA </t>
  </si>
  <si>
    <t xml:space="preserve">YSoft SafeQ6 PRINT MANAGEMENT SUITE non- embedded SFP License with reporting only module with Gold SLA including first year support </t>
  </si>
  <si>
    <t>Software Support for YSoft SafeQ6 PRINT MANAGEMENT SUITE non- embedded device License reporting only module with Gold SLA including first year support</t>
  </si>
  <si>
    <t>Y Soft Safe Q Workflow Suite(OCR)</t>
  </si>
  <si>
    <t>YSoft SafeQ6 Workflow Suite MFD License with Gold SLA including first year support</t>
  </si>
  <si>
    <t xml:space="preserve">One year Software Support for YSoft SafeQ6 Workflow Suite MFD License with Gold SLA </t>
  </si>
  <si>
    <t>Device management fee per MFD</t>
  </si>
  <si>
    <t>Y Soft Safe Q Enterprise Suite</t>
  </si>
  <si>
    <t>YSoft SafeQ6 ENTERPRISE SUITE embedded MFDLicense with Gold SLA including first year support</t>
  </si>
  <si>
    <t>Software Support for YSoft SafeQ6 ENTERPRISE SUITE embedded MFD License with Gold SLA</t>
  </si>
  <si>
    <t>YSoft SafeQ6 ENTERPRISE SUITE non- embedded device License with Gold SLA including first year support</t>
  </si>
  <si>
    <t>One year Software Support for YSoft SafeQ6 ENTERPRISE SUITE non- embedded device License with Gold SLA</t>
  </si>
  <si>
    <t>YSoft SafeQ6 ENTERPRISE SUITE non- embedded device License reporting only module with Gold SLA including first year support</t>
  </si>
  <si>
    <t>Software Support for YSoft SafeQ6 ENTERPRISE SUITE non- embedded device License reporting only module with Gold SLA including first year support</t>
  </si>
  <si>
    <t>PaperCut MF Embedded MFD License for  Konica Minolta (1-10 price). Price is for the purchase of one embedded MFD license.</t>
  </si>
  <si>
    <t>PaperCut MF Embedded MFD License  for Konica Minolta (11-25 price) MFDs. Price is for the purchase of one embedded MFD license.</t>
  </si>
  <si>
    <t>PaperCut MF Embedded MFD License for Konica Minolta (26-50 price) MFDs. Price is for the purchase of one embedded MFD license.</t>
  </si>
  <si>
    <t>PaperCut MF Embedded MFD License  for Konica Minolta (51-100 price) MFDs. Price is for the purchase of one embedded MFD license.</t>
  </si>
  <si>
    <t>PaperCut MF Embedded MFD License for Konica Minolta (101+ price). Price is for the purchase of one embedded MFD license.</t>
  </si>
  <si>
    <t>Premium Upgrade Assurance and Sofware Support for 1-10 Konica Minolta MFDs per year. Price is for the support of one embedded MFD license per year.</t>
  </si>
  <si>
    <t xml:space="preserve">Per Device </t>
  </si>
  <si>
    <t>Premium Upgrade Assurance and Sofware Support (12 Months) for 11-25 Konica Minolta devices per year. Price is for the support of one embedded device license per year.</t>
  </si>
  <si>
    <t>PremiuPremium Upgrade Assurance and Sofware Support for (26-50) Konica Minolta MFDs per year. Price is for the support of one embedded MFD license per year.</t>
  </si>
  <si>
    <t>Premium Upgrade Assurance and Sofware Support for (51 - 100) Konica Minolta MFDs per year. Price is for the support of one embedded MFD license per year.</t>
  </si>
  <si>
    <t>Premium Upgrade Assurance and Sofware Support for Konica Minolta MFD(101+ ) Konica Minolta MFDs per year. Price is for the support of one embedded device license per year.</t>
  </si>
  <si>
    <t>PaperCut MF 100 users license. Price is for the purchase of  100 users.</t>
  </si>
  <si>
    <t>100 Users</t>
  </si>
  <si>
    <t>PaperCut MF 500 users license. Price is for the purchase of  500 users.</t>
  </si>
  <si>
    <t>500 Users</t>
  </si>
  <si>
    <t>PaperCut MF 1000 users. Price is for the purchase of  1,000 users.</t>
  </si>
  <si>
    <t>1000 Users</t>
  </si>
  <si>
    <t>PaperCut MF 5000 users. Price is for the purchase of  5,000 users.</t>
  </si>
  <si>
    <t>5000 Users</t>
  </si>
  <si>
    <t>Premium Upgrade Assurance and Software Support for one year for 100 users</t>
  </si>
  <si>
    <t xml:space="preserve">Premium Upgrade Assurance and Software Support for one year for 500 users </t>
  </si>
  <si>
    <t>Premium Upgrade Assurance and Software Support for one year for 1000 users</t>
  </si>
  <si>
    <t>Premium Upgrade Assurance and Software Support for one year for 5000 users</t>
  </si>
  <si>
    <t>PCMF Fast Release Terminal license</t>
  </si>
  <si>
    <t>All proposed devices except single function printers (bizhub 3602P,bizhub 4402P,bizhub 4402P,bizhub C3100P)</t>
  </si>
  <si>
    <t xml:space="preserve">All proposed devices </t>
  </si>
  <si>
    <t>All single function printers (bizhub 3602P,bizhub 4402P,bizhub 4402P,bizhub C3100P)</t>
  </si>
  <si>
    <t xml:space="preserve">All proposed devices except single function printers </t>
  </si>
  <si>
    <t>Maximum hourly rates of commonly offered professional services for all Contractors</t>
  </si>
  <si>
    <t>Table 2 - Accessories</t>
  </si>
  <si>
    <t>Product Description</t>
  </si>
  <si>
    <t>Accessory for</t>
  </si>
  <si>
    <t>Per Device, incl 3yrs Maintenance &amp; Support</t>
  </si>
  <si>
    <t>Per User, incl 3yrs Maintenance &amp; Support</t>
  </si>
  <si>
    <t>Per Installation, incl 3yrs Maintenance &amp; Support</t>
  </si>
  <si>
    <t>RFIDeas PC Prox Plus Card Reader Includes 5 Year Warranty</t>
  </si>
  <si>
    <t>USB Card Reader</t>
  </si>
  <si>
    <t>AWMS</t>
  </si>
  <si>
    <t>TWN4 MF P Multi Prox USB Card Reader Includes 5 Year Warranty</t>
  </si>
  <si>
    <t>ICCR-B Enhanced (OMNIKEY 5127 CK MINI)</t>
  </si>
  <si>
    <t>Equitrac</t>
  </si>
  <si>
    <t>PaperCut</t>
  </si>
  <si>
    <t>Ysoft</t>
  </si>
  <si>
    <t>Swipe Card Reader Category B</t>
  </si>
  <si>
    <t>YSoft KM USB Card Reader with one year warranty (Category B)</t>
  </si>
  <si>
    <t>Print Managemt Solution and MFD</t>
  </si>
  <si>
    <t>Swipe Card Reader category A</t>
  </si>
  <si>
    <t>YSoft KM USB Card Reader with one year warranty (Category A)</t>
  </si>
  <si>
    <t>Warranty extension for Card reader</t>
  </si>
  <si>
    <t>Warranty ext. by 1year for USB Card Reader</t>
  </si>
  <si>
    <t>External terminal for single function printers</t>
  </si>
  <si>
    <t>YSoft Terminal Pro 4 for Single function printers with one 1year warranty</t>
  </si>
  <si>
    <t>Y Soft Print Management Solution</t>
  </si>
  <si>
    <t>Mounting kit for extenal terminal</t>
  </si>
  <si>
    <t>Terminal Pro 4 Mounting kit Table/Wall</t>
  </si>
  <si>
    <t>Warranty extension for external terminal</t>
  </si>
  <si>
    <t>Quick access external terminal for single function printers (PIN input)</t>
  </si>
  <si>
    <t>YSoft Terminal UltraLight, Print&amp;Copy for Readers Category A</t>
  </si>
  <si>
    <t>YSoft Terminal UltraLight, Print&amp;Copy - Readers Category B</t>
  </si>
  <si>
    <t>Warranty extension for ultralight teminal</t>
  </si>
  <si>
    <t>Warranty extension by 1yr for YSoft SafeQ Terminal UltraLight, Print&amp;Copy</t>
  </si>
  <si>
    <t>Elatec Card reader</t>
  </si>
  <si>
    <t>TWN4 Elatec card reader</t>
  </si>
  <si>
    <t>PaperCut Print management Solution</t>
  </si>
  <si>
    <t>Warranty extension for Elatec Card reader for 5 years</t>
  </si>
  <si>
    <t>Fast release terminal for SFP</t>
  </si>
  <si>
    <t>Papercut Fast Release Terminal TCP convertor</t>
  </si>
  <si>
    <t>Warranty extension for fast release terminal</t>
  </si>
  <si>
    <t>Warranty extension for TCP convertor for 5 years</t>
  </si>
  <si>
    <t>All proposed devices, the single function printers (bizhub 3602P,bizhub 4402P,bizhub 4402P,bizhub C3100P) would require the external terminal to work with card reader</t>
  </si>
  <si>
    <t>All proposed devices, the single function printers (bizhub 3602P,bizhub 4402P,bizhub 4402P,bizhub C3100P) would require the external terminal with card reader</t>
  </si>
  <si>
    <t>Compatible with card  type HID Prox (ISO Prox II, ProxKey, ProxKey III, DuoProx, Prox Card II, SmartISO Prox, ProxPass, Micro Prox, Smart DuoProx)ISO 14443A UIN, ISO 14443B UIN, Mifare UIN (Mifare Classic UIN only, Mifare Standard UIN only, Mifare 1K UIN only, Mifare 4K UIN only, Mifare 1k and 4k EV1 UIN only, Mifare Emulated Card UIN only, Mifare Ultralight UIN only, Mifare Ultralight UIN only, Mifare DESFire 0.6 UIN only, Mifare DESFire EV1 UIN only, Mifare DESFire EV2 UIN only, Mifare Mini UIN only, Mifare Plus UIN only), ISO 15693 UIN, Inside Contactless UIN (PicoPass 2k UIN only, PicoPass 32k UIN only), FeliCa UIN (RC-S860 UIN only, RC-S863 UIN only, RC-S885 UIN only, RC-S888 UIN only, RC-S889 UIN only, RC-S860 UIN only, RC-S890 UIN only, FeliCa Lite RC-S965 UIN only, FeliCa Lite-S RC- S966 UIN only, RC-SA01 UIN only), Sielox UIN (Checkpoint UIN only), EM4000 and compatible (EM Prox, UNIQUE, EM LF, EM4100, EM4102, MIRO, manchester f/64 and compatible, Q5 and Hitag configured to EM4xxx compat. mode)</t>
  </si>
  <si>
    <t>Compatible with  card type ,EM4000 (EM Prox, UNIQUE, EM LF, EM4100, EM4102, MIRO, manchester f/64 and compatible, Q5 and Hitag configured to EM4xxx compat. mode), ISO 14443A UIN, ISO 14443B UIN, Mifare UIN (Mifare Classic UIN only, Mifare Standard UIN only, Mifare 1K UIN only, Mifare 4K UIN only, Mifare 1k and 4k EV1 UIN only, Mifare Emulated Card UIN only, Mifare Ultralight UIN only, Mifare Ultralight UIN only, Mifare DESFire 0.6 UIN only, Mifare DESFire EV1 UIN only, Mifare DESFire EV2 UIN only, Mifare Mini UIN only, Mifare Plus UIN only), ISO 15693 UIN, Inside Contactless UIN (PicoPass 2k UIN only, PicoPass 32k UIN only), FeliCa UIN (RC-S860 UIN only, RC-S863 UIN only, RC-S885 UIN only, RC-S888 UIN only, RC- S889 UIN only, RC-S860 UIN only, RC-S890 UIN only, FeliCa Lite RC-S965 UIN only, FeliCa Lite-S RC-S966 UIN only, RC-SA01 UIN only), Sielox UIN (Checkpoint UIN only)</t>
  </si>
  <si>
    <t xml:space="preserve">Compatible with YSoft KM USB Card Reader  </t>
  </si>
  <si>
    <t xml:space="preserve">Also Compatible with Ysoft USB Card Reader (Category A) </t>
  </si>
  <si>
    <t xml:space="preserve">Also Compatible with YSoft USB Card Reader (Category B) </t>
  </si>
  <si>
    <t>Standard
 125kHz / 134.2kHz: 4100, 4102, 42005), AWID, CASI-RUSCO, HITAG 16), HITAG 26)
, HITAG S
6)
, Keri, Miro,
Pyramid, TIRIS/HDX, UNIQUE, FDX-B, Q5, TITAN (4x50), T55x7, ZOODIAC
Optionally, in consideration: 4305, Cardax, IDTECK
 13.56MHz / ISO14443A: MIFARE Classic 1k &amp; 4k, Mini, DESFire EV1, Plus S&amp;X7), Pro X7), SmartMX7)
,
Ultralight, Ultralight C, SLE44R35, SLE66Rxx (my-d move)
7), LEGIC Advant5), PayPass7)
 13.56MHz / ISO14443B: Calypso7), CEPAS7), HID iCLASS5), Moneo7), PicoPass7), SRI512, SRT512, SRI4K,
SRIX4K
 13.56MHz / ISO15693: EM4x337)
, EM4x357), HIDiCLASS5), ICODE SLI, LEGIC Advant5), M24LR16/64,
Tag-it, SRF55Vxx (my-d vicinity)
7), PicoPass7)
 13.56MHz / ISO18092 / NFC: NFCIP-1: Active and passive communication mode, Peer-to-Peer, NFC Forum
Tag Type 1-4, Sony FeliCa6)
Version P
Standard + Cotag, G-Prox8)
, HID Prox, Honeywell NexWatch, Indala, ioProx
Version PI
Version P + HID iCLASS (CSN and Facility Code)</t>
  </si>
  <si>
    <t>Warranty includes back to base replacement</t>
  </si>
  <si>
    <t>Compatible with TWN4 card reader</t>
  </si>
  <si>
    <t xml:space="preserve">Card Reader </t>
  </si>
  <si>
    <t>SCL011 Mifare Card Reader</t>
  </si>
  <si>
    <t>PaperCut, KNM, Print &amp; Follow</t>
  </si>
  <si>
    <t xml:space="preserve">Card Reader  </t>
  </si>
  <si>
    <t>Mifare Gen2 Reader</t>
  </si>
  <si>
    <t>Card Authentication Kit</t>
  </si>
  <si>
    <t>Reader activtation License</t>
  </si>
  <si>
    <t>PaperCut Embedded License</t>
  </si>
  <si>
    <t>PaperCut Kyo Emb License</t>
  </si>
  <si>
    <t>KNM Embedded License</t>
  </si>
  <si>
    <t>Kyocera Net Manager Emb license
Enables PIN Code/Username access</t>
  </si>
  <si>
    <t>KNM</t>
  </si>
  <si>
    <t>Equitrac Embedded License</t>
  </si>
  <si>
    <t>Equitrac Kyo Emb License</t>
  </si>
  <si>
    <t>PaperCut Site Server License</t>
  </si>
  <si>
    <t>PaperCut additional Site Server license</t>
  </si>
  <si>
    <t xml:space="preserve">All Kyocera models containing 'i' </t>
  </si>
  <si>
    <t>Suits PaperCut,  Kyocera Net Manager Solution and Print &amp; Follow. SW Maintenance not Reqd</t>
  </si>
  <si>
    <t xml:space="preserve">Suits Equitrac Solution. Other Types available.
Inc 1yr Maintenance </t>
  </si>
  <si>
    <t>Enables the Card Reader option on the MFD. No ongoing maintenance required</t>
  </si>
  <si>
    <t>Enables PIN Code/Username access on MFD for PaperCut solution. Inc 1yr Maintenance
Additional Bulk discounts may apply</t>
  </si>
  <si>
    <t>Enables PIN Code/Username access on MFD for KNM solution. Inc 1yr Maintenance
Additional Bulk discounts may apply</t>
  </si>
  <si>
    <t>Enables PIN Code/Username access on MFD for Equitrac solution. Inc 1yr Maintenance
Additional Bulk discounts may apply</t>
  </si>
  <si>
    <t xml:space="preserve">       Kyocera and most brands</t>
  </si>
  <si>
    <t>Primary +1 additional Site Server included. 1 yr Maintenance included
Addiional Bulk Discounts may apply</t>
  </si>
  <si>
    <t xml:space="preserve">20 Hour block of Professional Services puchased in advance </t>
  </si>
  <si>
    <t>Change Manager </t>
  </si>
  <si>
    <t>Project Manager Office Solutions</t>
  </si>
  <si>
    <t>Consultant Automation Solutions </t>
  </si>
  <si>
    <t>CRU0MF02</t>
  </si>
  <si>
    <t>Equitrac Card Reader</t>
  </si>
  <si>
    <t>CRU0MC02</t>
  </si>
  <si>
    <t>Equitrac Card Reader(Full Spec)</t>
  </si>
  <si>
    <t>ART11220</t>
  </si>
  <si>
    <t>Card Reder</t>
  </si>
  <si>
    <t>PaperCut MF/StreamLine NX</t>
  </si>
  <si>
    <t>Ricoh MFDs</t>
  </si>
  <si>
    <t>Software</t>
  </si>
  <si>
    <t>Software &amp; Accessories to support MFDs &amp; SFPs</t>
  </si>
  <si>
    <t>Min % Discount</t>
  </si>
  <si>
    <t>Standard Hourly Rate</t>
  </si>
  <si>
    <t>N/A - BW</t>
  </si>
  <si>
    <t>CUA PCS2018 PANEL 1 (MFDs) &amp; PANEL 2 (SFPs) - Product Catalogue</t>
  </si>
  <si>
    <t>Na</t>
  </si>
  <si>
    <t>Supplier Product ID</t>
  </si>
  <si>
    <t>Specification Details</t>
  </si>
  <si>
    <t>822LM01826</t>
  </si>
  <si>
    <t>DIMM-1GBE 1 GB Memory Upgrade</t>
  </si>
  <si>
    <t>822LM04536</t>
  </si>
  <si>
    <t>DIMM-2GBP 2 GB Memory Upgrade</t>
  </si>
  <si>
    <t>1203NP3NL0</t>
  </si>
  <si>
    <t>PF-470 500 Sheet Paper Feeder in a cabinet including caster wheels</t>
  </si>
  <si>
    <t>1203NN3NL0</t>
  </si>
  <si>
    <t>1203RB3NL0</t>
  </si>
  <si>
    <t>PF-7100 2 x 500 Sheet Paper Feeder including caster wheels</t>
  </si>
  <si>
    <t>1203RC3NL0</t>
  </si>
  <si>
    <t>PF-7110 2 x 1500 Sheet A4 ONLY  Paper Feeder including caster wheels</t>
  </si>
  <si>
    <t>1203RL3NL0</t>
  </si>
  <si>
    <t>PF-7120 3000 Sheet A4 ONLY Paper side deck including caster wheels</t>
  </si>
  <si>
    <t>1203PK0KL0</t>
  </si>
  <si>
    <t>PF-5100 500 Sheet Paper Feeder</t>
  </si>
  <si>
    <t>1203PS8NL0</t>
  </si>
  <si>
    <t>PF-5120 500 Sheet Paper Feeder (TA 356CI &amp; TA 406ci)</t>
  </si>
  <si>
    <t>1203PZ8NL0</t>
  </si>
  <si>
    <t>PF-5130 2 x 500 Sheet Paper Feeder including caster wheels  (TA 356CI &amp; TA 406ci)</t>
  </si>
  <si>
    <t>1203PT8NL0</t>
  </si>
  <si>
    <t>PF-5140 2000 Sheet A4 ONLY Paper Feeder  (TA 356CI &amp; TA 406ci)</t>
  </si>
  <si>
    <t>1203S03NL0</t>
  </si>
  <si>
    <t xml:space="preserve">PF-7130 Multimedia Paper Tray Must have PF-730(B) or PF-740(B) </t>
  </si>
  <si>
    <t>1203NJ8NL1</t>
  </si>
  <si>
    <t>PF-730(B) 2 x 500 Sheet Paper Feeder including caster wheels</t>
  </si>
  <si>
    <t>1203NF8NL1</t>
  </si>
  <si>
    <t>PF-740(B) 2 x 1500 Sheet A4 ONLY  Paper Feeder including caster wheels</t>
  </si>
  <si>
    <t>822S1205JS0UN0</t>
  </si>
  <si>
    <t>DF-470P 500 Sheet Document Finisher to Fit M8124cidn &amp; M8130cidn)</t>
  </si>
  <si>
    <t>1203RD3NL0</t>
  </si>
  <si>
    <t>DF-7100 500 Sheet Inner Document Finisher (A3 TASKalfa MFD's)</t>
  </si>
  <si>
    <t>1203RV3NL0</t>
  </si>
  <si>
    <t>DF-7120 1000 Sheet Document Finisher (requires AK-7100) (A3 TASKalfa MFD's)</t>
  </si>
  <si>
    <t>1203RW3NL0</t>
  </si>
  <si>
    <t>DF-7110 4000 Sheet Document Finisher (requires AK-7100) (A3 TASKalfa MFD's)</t>
  </si>
  <si>
    <t>1203NK3NL0</t>
  </si>
  <si>
    <t>PH-7C 2/4 Hole Punch for 1000 and 4000 sheet finishers (DF-7110 &amp; DF-7120)</t>
  </si>
  <si>
    <t>1203RF3NL0</t>
  </si>
  <si>
    <t>PH-7120 2/4 Hole Punch for 500 sheet Internal finisher (DF-7100)</t>
  </si>
  <si>
    <t>1203ND3NL0</t>
  </si>
  <si>
    <t>BF-730 Booklet &amp; Tri-Folding Unit for 4000 sheet finisher (DF-7110)</t>
  </si>
  <si>
    <t>1203N00UN1</t>
  </si>
  <si>
    <t>MT-730(B) 7 Bin Multi Tray Mailbox for 4000 sheet finisher (DF-7110)</t>
  </si>
  <si>
    <t>1203PX3NL0</t>
  </si>
  <si>
    <t>DF-5100 300 Sheet Inner Finisher for Taskalfa 356ci and 406ci</t>
  </si>
  <si>
    <t>1203PV3NL0</t>
  </si>
  <si>
    <t>DF-5110 1000 Sheet Document Finisher for Taskalfa 356ci and 406ci</t>
  </si>
  <si>
    <t>1203PW3NL0</t>
  </si>
  <si>
    <t>DF-5120 3000 Document Finisher with Hole Punch for Taskalfa 356ci and 406ci</t>
  </si>
  <si>
    <t>1703PY0UN0</t>
  </si>
  <si>
    <t>AK-5100 Attachment kit for Taskalfa 356ci and 406ci 1000 and 3000 sheet finishers</t>
  </si>
  <si>
    <t>1203R00NL0</t>
  </si>
  <si>
    <t>MT-5100 5 Bin Multi-Tray Mail Box on Taskalfa 356ci and 406ci</t>
  </si>
  <si>
    <t>1203R10UN0</t>
  </si>
  <si>
    <t>PH-5110 2/4 Hole Punch for DF-5110 finisher on Taskalfa 356ci and 406ci</t>
  </si>
  <si>
    <t>1505J40UN0</t>
  </si>
  <si>
    <t>HD-6 32GB SSD Hard Drive</t>
  </si>
  <si>
    <t>1505J80UN0</t>
  </si>
  <si>
    <t>HD-7 128GB SSD Hard Drive</t>
  </si>
  <si>
    <t>1503RS0UN0</t>
  </si>
  <si>
    <t>HD-12 320GB Hard Drive</t>
  </si>
  <si>
    <t>1502R50UN0</t>
  </si>
  <si>
    <t>HD-11 320GB HDD  (TASKalfa 356ci only)</t>
  </si>
  <si>
    <t>1603MS0UN0</t>
  </si>
  <si>
    <t xml:space="preserve">Data Security Kit E (Over Writes print job data) </t>
  </si>
  <si>
    <t>1203RJ5AS0</t>
  </si>
  <si>
    <t xml:space="preserve">DP-7120 50 Sheet RADF Document Processor Scanning @  ~40ipm </t>
  </si>
  <si>
    <t>1203R75AS0</t>
  </si>
  <si>
    <t>DP-7100 140 Sheet RADF Document Processor Scanning @  ~80ipm (Inc with Base Unit)</t>
  </si>
  <si>
    <t>1203R85AS0</t>
  </si>
  <si>
    <t xml:space="preserve">DP-7110 270 Sheet Dual Head Document Processor Scanning @  ~160ipm </t>
  </si>
  <si>
    <t>1203R35AS0</t>
  </si>
  <si>
    <t>DP-5100 75 Sheet RADF Document Processor Scanning @  ~60ipm (Replaces Platen)</t>
  </si>
  <si>
    <t>1203R45AS0</t>
  </si>
  <si>
    <t>DP-5110 75 Sheet Dual Head Document Processor Scanning @  ~160ipm (Replaces Platen)</t>
  </si>
  <si>
    <t>1503S43AS0</t>
  </si>
  <si>
    <t>Fax System 13 (M8124cidn &amp; M8130cidn)</t>
  </si>
  <si>
    <t>1503RK3AS0</t>
  </si>
  <si>
    <t>Fax System 12 (A3 TASKalfa)</t>
  </si>
  <si>
    <t>1503R23AS0</t>
  </si>
  <si>
    <t>Fax System 10  (TASKalfa 356ci 7 406ci)</t>
  </si>
  <si>
    <t>822LD01503</t>
  </si>
  <si>
    <t>1570 Console (Cabinet) for 1 tray Configuration (M8124cidn &amp; M8130cidn)</t>
  </si>
  <si>
    <t>822LS03325</t>
  </si>
  <si>
    <t>1290 Console (Cabinet) for 2 tray Configuration (TASKalfa range)</t>
  </si>
  <si>
    <t>822LD02115</t>
  </si>
  <si>
    <t>1277 Console (Cabinet) for 3 tray Configuration with Stability Feet (M6630cidn)</t>
  </si>
  <si>
    <t>822LS02123</t>
  </si>
  <si>
    <t>822LS02124</t>
  </si>
  <si>
    <t>1505JV0UN0</t>
  </si>
  <si>
    <t>IB-50 Extra 1GB Network Card</t>
  </si>
  <si>
    <t>1505J50UN0</t>
  </si>
  <si>
    <t>IB-51 Enterprise Wi-Fi Network Card</t>
  </si>
  <si>
    <t>1503RR0UN0</t>
  </si>
  <si>
    <t>IB-35 Enterprise Wi-Fi Network Card with Direct Wi-Fi Interface</t>
  </si>
  <si>
    <t>1503S50UN0</t>
  </si>
  <si>
    <t>IB-36 General Wi-Fi Network Card with Direct Wi-Fi Interface</t>
  </si>
  <si>
    <t>1603P10UN0</t>
  </si>
  <si>
    <t>Scan Extension Kit A - Scan to Searchable PDF License</t>
  </si>
  <si>
    <t>ECO-072</t>
  </si>
  <si>
    <t>ECO-072 3rd Year Warranty</t>
  </si>
  <si>
    <t>ECO-073</t>
  </si>
  <si>
    <t>ECO-073 4th Year Warranty</t>
  </si>
  <si>
    <t>ECO-076</t>
  </si>
  <si>
    <t>ECO-076 4th Year Warranty</t>
  </si>
  <si>
    <t>ECO-MFD2</t>
  </si>
  <si>
    <t>ECO-MFD2 Upgrade to 2 Year Warranty (Excludes toners and Maintenance Kits</t>
  </si>
  <si>
    <t>ECO-MFD3</t>
  </si>
  <si>
    <t>ECO-MFD3 Upgrade to 3 Year Warranty (Excludes toners and Maintenance Kits</t>
  </si>
  <si>
    <t>ECO-MFD4</t>
  </si>
  <si>
    <t>ECO-MFD4 Upgrade to 4 Year Warranty (Excludes toners and Maintenance Kits</t>
  </si>
  <si>
    <t>ECO-MFD5</t>
  </si>
  <si>
    <t>ECO-MFD5 Upgrade to 5 Year Warranty (Excludes toners and Maintenance Kits</t>
  </si>
  <si>
    <t>CUA Price ($)</t>
  </si>
  <si>
    <t>1203RA0UN0</t>
  </si>
  <si>
    <t>PF-1100 250 Sheet Paper Feeder</t>
  </si>
  <si>
    <t>1203PJ8NL0</t>
  </si>
  <si>
    <t>1203PC8NL0</t>
  </si>
  <si>
    <t>PF-810 2 x 1500 Sheet A4 ONLY  Paper Feeder  (TA 3212 &amp; 4012I)</t>
  </si>
  <si>
    <t>1203PG3NL0</t>
  </si>
  <si>
    <t>DF-791 3000 Sheet Document Finisher</t>
  </si>
  <si>
    <t>1703PD0UN0</t>
  </si>
  <si>
    <t>AK-740 Attachment kit  - for the 1000 and 3000 sheet finishers (TA 3212 &amp; TA 4012)</t>
  </si>
  <si>
    <t>Upgrade to Fax Model</t>
  </si>
  <si>
    <t>822LD01830</t>
  </si>
  <si>
    <t>1272 Console (Cabinet) for 2 tray Configuration (TASKalfa 3212 &amp; 4012)</t>
  </si>
  <si>
    <t>822LW00064</t>
  </si>
  <si>
    <t>ECO-064 Kyocare Extension Warranty to 36 Months (3Years)</t>
  </si>
  <si>
    <t>822LW00065</t>
  </si>
  <si>
    <t>ECO-065 Kyocare Extension Warranty to 48 Months (4Years)</t>
  </si>
  <si>
    <t>Universal print driver Standard with all Devices</t>
  </si>
  <si>
    <t>Management &amp; reporting system Network Device Manager comes FREE with every device</t>
  </si>
  <si>
    <t>Duplex printing/copying Standard with all Devices</t>
  </si>
  <si>
    <t>EL500292</t>
  </si>
  <si>
    <t>Auditron</t>
  </si>
  <si>
    <t>ePBB</t>
  </si>
  <si>
    <t>Std</t>
  </si>
  <si>
    <t>CONSHRLY</t>
  </si>
  <si>
    <t>Duplex Scanner</t>
  </si>
  <si>
    <t>Mobile Stand - Base Module Stand for 2 Tray Device</t>
  </si>
  <si>
    <t>1 Tray Module with Cabinet - Convert MFD to Floor Standing - additional 500 sheet paper tray</t>
  </si>
  <si>
    <t>3 Tray Module - Convert MFD to Floor standing - additional 3 x 500 sheet paper trays</t>
  </si>
  <si>
    <t>Illegal Copy Prevention Feature</t>
  </si>
  <si>
    <t>Fax Kit - Includes Internet fax kit as standard</t>
  </si>
  <si>
    <t>Enables wireless network connectivity (IEEE802.11b/g/n).</t>
  </si>
  <si>
    <t>EC101859</t>
  </si>
  <si>
    <t>550 Sheet Feeder - Max 1 can be ordered per device</t>
  </si>
  <si>
    <t>Finisher - Internal A2 (Cannot equip with any other finisher)</t>
  </si>
  <si>
    <t>A4 High Capacity Feeder - 2,030 A4 Sheets</t>
  </si>
  <si>
    <t>Set limits by user/Group / Track all usage</t>
  </si>
  <si>
    <t>Automatic Duplex Printing/Copying</t>
  </si>
  <si>
    <t>Training and / or Extra Service - Hourly Rate</t>
  </si>
  <si>
    <t>All devices come standard with a Duplex Auto Document Feeder / Scanner</t>
  </si>
  <si>
    <t>Enables High Compression PDF, Specific Colour PDF, Searchable (OCR) PDF and Scan to Word/Excel features</t>
  </si>
  <si>
    <t>Cabinet</t>
  </si>
  <si>
    <t>MX9967003353</t>
  </si>
  <si>
    <t>1GB Memory extension</t>
  </si>
  <si>
    <t>A87AWY1</t>
  </si>
  <si>
    <t>UK-211 Memory 2GB Upgrade Kit</t>
  </si>
  <si>
    <t>A73HWY1</t>
  </si>
  <si>
    <t>PF-P14 Paper Feed Unit (500 sheet)</t>
  </si>
  <si>
    <t>A860WY8</t>
  </si>
  <si>
    <t>PC-214 Paper Feed Cabinet (500 x 2) V3</t>
  </si>
  <si>
    <t>A9HFWY2</t>
  </si>
  <si>
    <t>PC-215 Paper Feed Cabinet(500×2)</t>
  </si>
  <si>
    <t>A860WY3</t>
  </si>
  <si>
    <t>PC-414 Paper Feed Cabinet (2,500 sheets)</t>
  </si>
  <si>
    <t>1336/20</t>
  </si>
  <si>
    <t>DK-1336/20 Simple Copier Desk</t>
  </si>
  <si>
    <t>A6WXWY2</t>
  </si>
  <si>
    <t>A2XMWYD</t>
  </si>
  <si>
    <t>PC-210 Paper Feed Cabinet (500 x 2) V3</t>
  </si>
  <si>
    <t>A2XMWY9</t>
  </si>
  <si>
    <t>PC-410 Paper Feed Cabinet version 2 (A4 x 2500 sheets)</t>
  </si>
  <si>
    <t>A9HFWY3</t>
  </si>
  <si>
    <t>PC-415 Paper Feed Cabinet(2500)</t>
  </si>
  <si>
    <t>A2XMWY5</t>
  </si>
  <si>
    <t>DK-705 Desk (Low Caster Table)</t>
  </si>
  <si>
    <t>A4MEWY2</t>
  </si>
  <si>
    <t>MK-730 Mount Kit version 2 (Banner Tray)</t>
  </si>
  <si>
    <t>A9EFWY1</t>
  </si>
  <si>
    <t>LU-207 Large Capacity Unit(A4/SRA3/Letter 2500)</t>
  </si>
  <si>
    <t>A87VWY1</t>
  </si>
  <si>
    <t>LU-302 Large Capacity Unit(A4/Letter 3000)</t>
  </si>
  <si>
    <t>TK101WMK734</t>
  </si>
  <si>
    <t>TK-101 Transformer kit (For LU-301/LU-204/LU-207 and LU-302) with MK-734 Mount Kit (Power Supply for HT-509)</t>
  </si>
  <si>
    <t>HT509WMK734</t>
  </si>
  <si>
    <t>HT-509 Optional Paper Tray Heater. (May need Transformer Kit) with MK-734 Mount Kit (Power Supply for HT-509)</t>
  </si>
  <si>
    <t>A6VDWY1</t>
  </si>
  <si>
    <t>FS-P03 Finisher Off-line stapler (20 sheets per set)</t>
  </si>
  <si>
    <t>A0W4WY3</t>
  </si>
  <si>
    <t>WT-506 Working Table Version 2</t>
  </si>
  <si>
    <t>FS-533wMK3+2</t>
  </si>
  <si>
    <t>FS-533 Finisher version 2 (50 sheet. Inner finisher) with Mount Kit MK-603 for Finisher and MK-602 Mount Kit for FS-533</t>
  </si>
  <si>
    <t>FS-534wMK603</t>
  </si>
  <si>
    <t>FS-534 Finisher version 2 (50 sheets Staple) with RU-514 Relay Unit (for FS-534) and Mount Kit MK-603 for Finisher</t>
  </si>
  <si>
    <t>FS-534SDwMK603</t>
  </si>
  <si>
    <t>FS-534 with SD-511 version 2 (50 sheet Staple) with RU-514 Relay Unit (for FS-534) and Mount Kit MK-603 for Finisher. Check configuration chart.</t>
  </si>
  <si>
    <t>JS-506wMK603</t>
  </si>
  <si>
    <t xml:space="preserve">JS-506 Job Separator version 2. 200 sheet output. Cannot combine with OT-506. Includes Mount Kit MK-603 for Finisher. Check configuration chart. </t>
  </si>
  <si>
    <t>A2YUWY2</t>
  </si>
  <si>
    <t>FS-533 Finisher version 2 (50 sheet. Inner finisher)</t>
  </si>
  <si>
    <t>FS-534wRU513</t>
  </si>
  <si>
    <t>FS-534 Finisher version 2 (50 sheets Staple) with RU-513 Relay Unit for FS-534/FS-536/FS-537</t>
  </si>
  <si>
    <t>FS-534SD511wRU513</t>
  </si>
  <si>
    <t>FS-534 with SD-511 version 2 (50 sheet Staple) with RU-513 Relay Unit for FS-534/FS-536/FS-537</t>
  </si>
  <si>
    <t>A2YVWY2</t>
  </si>
  <si>
    <t>JS-506 Job Separator version 2. 200 sheet output. Cannot combine with OT-506</t>
  </si>
  <si>
    <t>A10CWY2</t>
  </si>
  <si>
    <t>Job Separator JS-602v2</t>
  </si>
  <si>
    <t>FS-536wRU-513</t>
  </si>
  <si>
    <t>50 Sheet stapling finisher with RU-513 Relay Unit for FS-534/FS-536/FS-537</t>
  </si>
  <si>
    <t>FS-536SDwRU-513</t>
  </si>
  <si>
    <t>50 Sheet stapling finisher, saddle stitcher and RU-513 Relay Unit for FS-534/FS-536/FS-537</t>
  </si>
  <si>
    <t>FS-537wRU-513</t>
  </si>
  <si>
    <t>100 Sheet stapling finisher with relay unit with RU-513 Relay Unit for FS-534/FS-536/FS-537</t>
  </si>
  <si>
    <t>FS-537SDwRU-513</t>
  </si>
  <si>
    <t>100 Sheet stapling finisher, saddle stitcher and relay unit with RU-513 Relay Unit for FS-534/FS-536/FS-537</t>
  </si>
  <si>
    <t>A63GWY1</t>
  </si>
  <si>
    <t>Z Folding Unit ZU-609</t>
  </si>
  <si>
    <t>A8C6WY1</t>
  </si>
  <si>
    <t>Post Inserter PI-507</t>
  </si>
  <si>
    <t>A4MDWY1</t>
  </si>
  <si>
    <t>OT-506, Output Tray, may be required if no finisher is fitted. Cannot combine with JS-506</t>
  </si>
  <si>
    <t>A3ETW21</t>
  </si>
  <si>
    <t>PK-520 Punch kit (2/4 hole) – FS534 and FS536</t>
  </si>
  <si>
    <t>A3EUW22</t>
  </si>
  <si>
    <t>PK-519 Punch Kit (2/4 hole) for FS-533</t>
  </si>
  <si>
    <t>A3EUW12</t>
  </si>
  <si>
    <t>PK-519 Punch Kit (2/3 hole) for FS-533</t>
  </si>
  <si>
    <t>A3ETW11</t>
  </si>
  <si>
    <t>PK-520 Punch kit (2/3 hole) – FS534 and FS536</t>
  </si>
  <si>
    <t>A99KW11</t>
  </si>
  <si>
    <t>PK-523 Punch kit (2/3 hole) – FS537</t>
  </si>
  <si>
    <t>A99KW21</t>
  </si>
  <si>
    <t>PK-523 Punch kit (2/4 hole) – FS537</t>
  </si>
  <si>
    <t>A734WY1</t>
  </si>
  <si>
    <t>HD-P06 Hard Disk (320 GB)</t>
  </si>
  <si>
    <t>A888WY2</t>
  </si>
  <si>
    <t>HD-524 Hard Disk Mirroring</t>
  </si>
  <si>
    <t>A4MMWY3</t>
  </si>
  <si>
    <t>SC-508 Security Kit</t>
  </si>
  <si>
    <t>SC508</t>
  </si>
  <si>
    <t>SC508 includes: SC-508 (x2)</t>
  </si>
  <si>
    <t>OPSADV</t>
  </si>
  <si>
    <t>OPS Advanced Remote Management (Charge is per Device per Month)</t>
  </si>
  <si>
    <t>KMCallout</t>
  </si>
  <si>
    <t>Initial Call Out Fee - Includes first 15 minutes onsite</t>
  </si>
  <si>
    <t>KMLabour</t>
  </si>
  <si>
    <t>Additional 15 minutes intervals post Initial Call Out Fee</t>
  </si>
  <si>
    <t>AA1K051</t>
  </si>
  <si>
    <t>FK-517 Fax Kit (Mount Kit bundled)</t>
  </si>
  <si>
    <t>A879052</t>
  </si>
  <si>
    <t>Fax Kit FK-513 Super G3 Fax</t>
  </si>
  <si>
    <t>A883052</t>
  </si>
  <si>
    <t>FK-514 Fax Kit (for 1st,2nd line)</t>
  </si>
  <si>
    <t>multifaxFK514</t>
  </si>
  <si>
    <t> Multifax FK514 includes: FK-514 (x2)</t>
  </si>
  <si>
    <t>NCP03wMKP07</t>
  </si>
  <si>
    <t>NC-P03 Wireless Lan Network Connector with MK-P07 Mount Kit for NC-P03</t>
  </si>
  <si>
    <t>A0PD066</t>
  </si>
  <si>
    <t>LK-102 v3 i-Option Encrypted PDF or PDF/A. (Memory Upgrade kit required for i-Option)</t>
  </si>
  <si>
    <t>A0PD067</t>
  </si>
  <si>
    <t>LK-104 v3 i-Option (Voice guidance)  Needs 2GB Upgrade Kit, KP-101 and EK-609.</t>
  </si>
  <si>
    <t>A0PD06T</t>
  </si>
  <si>
    <t>LK-105 v4 i-Option (Searchable PDF)</t>
  </si>
  <si>
    <t>A0PD069</t>
  </si>
  <si>
    <t>LK-106 i-Option Barcode Font license</t>
  </si>
  <si>
    <t>A0PD06F</t>
  </si>
  <si>
    <t>LK-107 i-Option Unicode Font</t>
  </si>
  <si>
    <t>A0PD06G</t>
  </si>
  <si>
    <t>LK-108 i-Option OCR Font</t>
  </si>
  <si>
    <t>A0PD06U</t>
  </si>
  <si>
    <t>LK-110 v2 File Format Expansion</t>
  </si>
  <si>
    <t>A0PD06K</t>
  </si>
  <si>
    <t>LK-111 i-Option Thin Print</t>
  </si>
  <si>
    <t>A0PD06V</t>
  </si>
  <si>
    <t>LK-115 v2 i-Option (TPM)</t>
  </si>
  <si>
    <t>AA1MWY2</t>
  </si>
  <si>
    <t>Wireless Connectivity Kit</t>
  </si>
  <si>
    <t>A87EWY1</t>
  </si>
  <si>
    <t>UK-212 Wireless LAN. Check if EK-608 or EK-609 required.</t>
  </si>
  <si>
    <t>A87EWY2</t>
  </si>
  <si>
    <t>Upgrade Kit UK-212 (Wifi kit)</t>
  </si>
  <si>
    <t>A87EWY3</t>
  </si>
  <si>
    <t>Wireless LAN Upgrade Kit UK-212</t>
  </si>
  <si>
    <t>A9M4WY1</t>
  </si>
  <si>
    <t>Local Interface Kit for CSRC</t>
  </si>
  <si>
    <t>A87DWY2</t>
  </si>
  <si>
    <t>EK-609 Local Interface Kit (USB hub w/Bluetooth)</t>
  </si>
  <si>
    <t>A9FRWY1</t>
  </si>
  <si>
    <t>EK-P06 Internal USB Hub including bluetooth functionality</t>
  </si>
  <si>
    <t>A732WY1</t>
  </si>
  <si>
    <t>MK-P02 Mount Kit for ID card reader AU-201</t>
  </si>
  <si>
    <t>A4NMWY1</t>
  </si>
  <si>
    <t>MK-735 Mount Kit built into front panel for IC Card Authentication</t>
  </si>
  <si>
    <t>A889WY1</t>
  </si>
  <si>
    <t>MK-745 Mount Kit (for Clean Unit CU-101)</t>
  </si>
  <si>
    <t>A8K7WY1</t>
  </si>
  <si>
    <t>MK-748 Mount Kit (for Clean unit CU-101)</t>
  </si>
  <si>
    <t>A87WWY1</t>
  </si>
  <si>
    <t>CU-101 Clean Unit (requires Mount Kit)</t>
  </si>
  <si>
    <t>A9UVWY1</t>
  </si>
  <si>
    <t>CU-102 Clean Unit</t>
  </si>
  <si>
    <t>A4NHWY4</t>
  </si>
  <si>
    <t>HT-509 Optional Paper Tray Heater. (May need Transformer Kit).</t>
  </si>
  <si>
    <t>A4NJWY2</t>
  </si>
  <si>
    <t>MK-734 Mount Kit (Power Supply for HT-509)</t>
  </si>
  <si>
    <t>A8WCWY1</t>
  </si>
  <si>
    <t>UK-501 Double Feed Detection Kit</t>
  </si>
  <si>
    <t>A64TWY3</t>
  </si>
  <si>
    <t>KP-101 Key Pad</t>
  </si>
  <si>
    <t>A9M3WY1</t>
  </si>
  <si>
    <t>Numeric Keypad Holder</t>
  </si>
  <si>
    <t>KeyboardKH102</t>
  </si>
  <si>
    <t>KH-102 Keyboard Holder with Black Combo 83 Key Keyboard</t>
  </si>
  <si>
    <t>FieryIC416+SP+ADV</t>
  </si>
  <si>
    <t>FieryIC416 Bundle 2 - IC-416 Image Controller(Fiery) with VI-508 Video Interface Kit (for Fiery IC-416), EFI ES-2000 Spectrophotometer Kit, PPG Training for Fiery IC-416 and AC POWERCORD K3752</t>
  </si>
  <si>
    <t>FIERYIC416B4</t>
  </si>
  <si>
    <t>FIERY BUNDLE FOR C458-C658 AND TRAINING includes IC-416 Image Controller(Fiery), VI-510 Video Interface Card, EFI ES-2000 Spectrophotometer Kit, PPG Training for Fiery IC-416 and AC POWERCORD K3752</t>
  </si>
  <si>
    <t>4614506</t>
  </si>
  <si>
    <t>Stamp Unit SP-501</t>
  </si>
  <si>
    <t>4614511</t>
  </si>
  <si>
    <t>Spare TX Marker Stamp Spare</t>
  </si>
  <si>
    <t>A8H7WY1</t>
  </si>
  <si>
    <t>Large Capacity Unit LU-205</t>
  </si>
  <si>
    <t>A8H6WY1</t>
  </si>
  <si>
    <t>Large Capacity Unit LU-303</t>
  </si>
  <si>
    <t>A8HCWY1</t>
  </si>
  <si>
    <t>WT-513 Working Table (upright panel)</t>
  </si>
  <si>
    <t>FS-536wRU-515</t>
  </si>
  <si>
    <t>50 Sheet stapling finisher with Relay Unit RU-515 (Connects finisher with main unit)</t>
  </si>
  <si>
    <t>FS-536SDwRU-515</t>
  </si>
  <si>
    <t>50 Sheet stapling finisher, saddle stitcher and Relay Unit RU-515 (Connects finisher with main unit)</t>
  </si>
  <si>
    <t>FS-537wRU-515</t>
  </si>
  <si>
    <t>100 Sheet stapling finisher with Relay Unit RU-515 (Connects finisher with main unit)</t>
  </si>
  <si>
    <t>FS-537SDwRU-515</t>
  </si>
  <si>
    <t>100 Sheet stapling finisher, saddle stitcher and Relay Unit RU-515 (Connects finisher with main unit)</t>
  </si>
  <si>
    <t>A8HDWY1</t>
  </si>
  <si>
    <t>Output Tray OT-508</t>
  </si>
  <si>
    <t>A92D051</t>
  </si>
  <si>
    <t>Fax Kit FK-516</t>
  </si>
  <si>
    <t>MultifaxFK516</t>
  </si>
  <si>
    <t>Multufax Fax Kit FK-516 x 2</t>
  </si>
  <si>
    <t>A8H9WY1</t>
  </si>
  <si>
    <t>Local Interface Kit EK-610 (w/o bluetooth)</t>
  </si>
  <si>
    <t>A8HAWY1</t>
  </si>
  <si>
    <t>Local Interface Kit EK-611 (with bluetooth)</t>
  </si>
  <si>
    <t>FIERYIC418B1</t>
  </si>
  <si>
    <t>Fiery Bundle For C659-C759 includes IC-418 Image Controller (FIERY), VI-510 Video Interface Card, EFI ES-2000 Spectrophotometer Kit, PPG Training Course and AC POWERCORD K3752</t>
  </si>
  <si>
    <t>4599141</t>
  </si>
  <si>
    <t>Staples (MS-10A) for FS-535/FS-526/FS-536 (3 x 5K Cartridges)</t>
  </si>
  <si>
    <t>14YK</t>
  </si>
  <si>
    <t>Staples (SK-602) for FS-533/FS-534/SD-511/SD-512/FS-527/FS-529/FS-537SD (3 x 5K Cart.)</t>
  </si>
  <si>
    <t>AAU5WY1</t>
  </si>
  <si>
    <t>AANAWY1</t>
  </si>
  <si>
    <t>AANCWY1</t>
  </si>
  <si>
    <t>A7VAWY8</t>
  </si>
  <si>
    <t>A7VAWY3</t>
  </si>
  <si>
    <t>A0G5WY0</t>
  </si>
  <si>
    <t>FS533wMK602</t>
  </si>
  <si>
    <t>FS-534wRU514</t>
  </si>
  <si>
    <t>FS-534SD511wRU514</t>
  </si>
  <si>
    <t>A4NHWY2</t>
  </si>
  <si>
    <t>A879051</t>
  </si>
  <si>
    <t>CU-102wMK-745</t>
  </si>
  <si>
    <t>UK-219 Upgrade Kit (2GB memory)</t>
  </si>
  <si>
    <t>PC-213 Paper Feed Cabinet (2 x 500 sheets) (V2)</t>
  </si>
  <si>
    <t>PC-413 Paper Feed Cabinet (2,500 sheets)</t>
  </si>
  <si>
    <t>MK-715, Banner paper Tray</t>
  </si>
  <si>
    <t>FS-533 with MK-602 - FS-533 Finisher version 2 (50 sheet. Inner finisher), MK-602 Mount Kit for FS-533</t>
  </si>
  <si>
    <t>Includes: FS-534 with RU-514 - FS-534 Finisher version 2 (50 sheets Staple), RU-514 Relay Unit (for FS-534)</t>
  </si>
  <si>
    <t>Includes: FS-534SD-511 with RU-514 - FS-534 with SD-511 version 2 (50 sheet Staple). Relay Unit required., RU-514 Relay Unit (for FS-534)</t>
  </si>
  <si>
    <t>Optional Paper Tray Heater HT-509 with Power Supply Box - A4NJWY2</t>
  </si>
  <si>
    <t>FK-513 Fax Kit</t>
  </si>
  <si>
    <t>Clean Unit CU-102 with MK-745 Mount Kit (for Clean Unit CU-101)</t>
  </si>
  <si>
    <t>Device Name:</t>
  </si>
  <si>
    <t>EM200516</t>
  </si>
  <si>
    <t>EL500294</t>
  </si>
  <si>
    <t>EM100378</t>
  </si>
  <si>
    <t>Auto Meter Reading Auto Consumable Ordering</t>
  </si>
  <si>
    <t>Wireless Network Kit b/g/n</t>
  </si>
  <si>
    <t>A4 High Capacity Feeder C1-D1 (2 x 2,000 sheet trays)</t>
  </si>
  <si>
    <t xml:space="preserve">1 x 550 Sheets -  This paper feed unit lowers the
total machine height, making it easy for users with physical
disabilities (i.e. wheelchair) to access the device.
</t>
  </si>
  <si>
    <t>408112</t>
  </si>
  <si>
    <t>Standard 1200 x 1200dpi</t>
  </si>
  <si>
    <t>Standard 600 x 600dpi</t>
  </si>
  <si>
    <t>417484</t>
  </si>
  <si>
    <t>417487</t>
  </si>
  <si>
    <t>416610</t>
  </si>
  <si>
    <t>416613</t>
  </si>
  <si>
    <t>408118</t>
  </si>
  <si>
    <t>416549</t>
  </si>
  <si>
    <t>417483</t>
  </si>
  <si>
    <t xml:space="preserve">Additional Call-Out Included in Cost Per Print Maintenance </t>
  </si>
  <si>
    <t>Standard Scanner included as standard</t>
  </si>
  <si>
    <t>407890</t>
  </si>
  <si>
    <t>TK1220 1 x 500 Sheet Paper Tray</t>
  </si>
  <si>
    <t>408093</t>
  </si>
  <si>
    <t xml:space="preserve">Management &amp; reporting system - Included as Standard </t>
  </si>
  <si>
    <t>Duplex printing/copying - Included as Standard</t>
  </si>
  <si>
    <t>Additional Call-out - Included in Cost Per Print agreement</t>
  </si>
  <si>
    <t>AANEWY1</t>
  </si>
  <si>
    <t xml:space="preserve">UK-P12 256 MB User Flash Memory Upgrade </t>
  </si>
  <si>
    <t xml:space="preserve">PF-P15 250 Sheet Paper Feed Unit </t>
  </si>
  <si>
    <t>PF-P16 550 Sheet Paper Feed Unit</t>
  </si>
  <si>
    <t>1203R60UN0</t>
  </si>
  <si>
    <t>PF-5110 250 Sheet Paper Feeder</t>
  </si>
  <si>
    <t>PF-7100 2 x 500 Sheet Paper Feeder</t>
  </si>
  <si>
    <t>PF-7110 2 x 1500 Sheet Paper Feeder</t>
  </si>
  <si>
    <t>PF-7120 1 x 3000 A4 ONLY Sheet Sidedeck Paper Feeder</t>
  </si>
  <si>
    <t>822LW00072</t>
  </si>
  <si>
    <t>ECO-072 Kyocare Extension Warranty to 36 Months (3 Years)</t>
  </si>
  <si>
    <t>822LW00073</t>
  </si>
  <si>
    <t>ECO-073 Kyocare Extension Warranty to 48 Months (4 Years)</t>
  </si>
  <si>
    <t>822LW05177</t>
  </si>
  <si>
    <t>ECO-076 Kyocare Extension Warranty to 36 Months (3 Years)</t>
  </si>
  <si>
    <t>822LW05178</t>
  </si>
  <si>
    <t>ECO-077 Kyocare Extension Warranty to 48 Months (4 Years)</t>
  </si>
  <si>
    <t>1203NY8NL0</t>
  </si>
  <si>
    <t>PF-320 500 Sheet Paper Feeder</t>
  </si>
  <si>
    <t>1203S30KL0</t>
  </si>
  <si>
    <t>PF-3100 2000 Sheet A4 Paper Feeder MUST HAVE 1203S30KL0 (below)</t>
  </si>
  <si>
    <t>1903N10UN0</t>
  </si>
  <si>
    <t>Attachment Stand for 1203S30KL0 (above)</t>
  </si>
  <si>
    <t>ECO-064 Kyocare Extension Warranty to 36 Months (3 Years)</t>
  </si>
  <si>
    <t>ECO-065 Kyocare Extension Warranty to 48 Months (4 Years)</t>
  </si>
  <si>
    <t>Panel 1 (MFDs) Number of Devices Summary</t>
  </si>
  <si>
    <t>Panel 2 (SFPs) Number of Devices Summary</t>
  </si>
  <si>
    <r>
      <t xml:space="preserve">Note: </t>
    </r>
    <r>
      <rPr>
        <sz val="10"/>
        <rFont val="Arial"/>
        <family val="2"/>
      </rPr>
      <t xml:space="preserve">Hover over cell comments for details of </t>
    </r>
    <r>
      <rPr>
        <sz val="10"/>
        <color theme="9" tint="-0.249977111117893"/>
        <rFont val="Arial"/>
        <family val="2"/>
      </rPr>
      <t>orange</t>
    </r>
    <r>
      <rPr>
        <sz val="10"/>
        <rFont val="Arial"/>
        <family val="2"/>
      </rPr>
      <t xml:space="preserve"> highlighted cells where multiple discounts are offered.  </t>
    </r>
  </si>
  <si>
    <r>
      <rPr>
        <b/>
        <sz val="10"/>
        <color rgb="FFFF0000"/>
        <rFont val="Arial"/>
        <family val="2"/>
      </rPr>
      <t>Note:</t>
    </r>
    <r>
      <rPr>
        <b/>
        <sz val="10"/>
        <rFont val="Arial"/>
        <family val="2"/>
      </rPr>
      <t xml:space="preserve"> </t>
    </r>
    <r>
      <rPr>
        <sz val="10"/>
        <rFont val="Arial"/>
        <family val="2"/>
      </rPr>
      <t xml:space="preserve"> Where there are four (4) or less devices all ranking cells are shaded.</t>
    </r>
  </si>
  <si>
    <t>Summary details &amp; pricing for all Product Catalogue list Colour Multifunction Devices (MFDs)</t>
  </si>
  <si>
    <t>Summary details &amp; pricing for all Product Catalogue list B&amp;W Multifunction Devices (MFDs)</t>
  </si>
  <si>
    <t>List of available Upgrades for all Colour Product Catalogue list MFDs</t>
  </si>
  <si>
    <t>List of available Upgrades for all B&amp;W Product Catalogue list MFDs</t>
  </si>
  <si>
    <t>Panel 1 - MFD Colour Upgrades Available</t>
  </si>
  <si>
    <t>Panel 1 - MFD B&amp;W Upgrades Available</t>
  </si>
  <si>
    <t>Panel 1 - MFD Colour Summary of Devices</t>
  </si>
  <si>
    <t>Panel 1 - MFD B&amp;W Summary of Devices</t>
  </si>
  <si>
    <t>MFD-Colour_List</t>
  </si>
  <si>
    <t>MFD-Colour_Upg</t>
  </si>
  <si>
    <t>MFD-BW_List</t>
  </si>
  <si>
    <t>MFD-BW_Upg</t>
  </si>
  <si>
    <t>SFP-Colour_List</t>
  </si>
  <si>
    <t>Summary details &amp; pricing for all Product Catalogue list Colour Single Function Printers (SFPs)</t>
  </si>
  <si>
    <t>List of available Upgrades for all Colour Product Catalogue list SFPs</t>
  </si>
  <si>
    <t>SFP-Colour_Upg</t>
  </si>
  <si>
    <t>Panel 2 - SFP Colour Summary of Devices</t>
  </si>
  <si>
    <t>Panel 2 - SFP B&amp;W Summary of Devices</t>
  </si>
  <si>
    <t>SFP-BW_List</t>
  </si>
  <si>
    <t>SFP-BW_Upg</t>
  </si>
  <si>
    <t>Panel 2 - SFP Colour Upgrades Available</t>
  </si>
  <si>
    <t>Professional Services Pricing (all prices are hourly rates)</t>
  </si>
  <si>
    <r>
      <rPr>
        <b/>
        <i/>
        <sz val="11"/>
        <rFont val="Arial"/>
        <family val="2"/>
      </rPr>
      <t>Please note:</t>
    </r>
    <r>
      <rPr>
        <i/>
        <sz val="11"/>
        <rFont val="Arial"/>
        <family val="2"/>
      </rPr>
      <t xml:space="preserve"> All pricing within this Catalogue is </t>
    </r>
    <r>
      <rPr>
        <b/>
        <i/>
        <sz val="11"/>
        <rFont val="Arial"/>
        <family val="2"/>
      </rPr>
      <t>GST Inclusive</t>
    </r>
  </si>
  <si>
    <t>CPC %</t>
  </si>
  <si>
    <t>Max CUA Cost</t>
  </si>
  <si>
    <t>MFD B&amp;W - Entry Level (PPM: &lt;30,  Minimum Engine Life: 160,000)</t>
  </si>
  <si>
    <t>MFD Colour - Entry Level (PPM: &lt;30,  Minimum Engine Life: 160,000)</t>
  </si>
  <si>
    <t>SFP Colour - Low Level (PPM: &lt;30,  Minimum Engine Life: 150,000)</t>
  </si>
  <si>
    <t>SFP Colour - Medium Level (PPM: 30-39,  Minimum Engine Life: 200,000)</t>
  </si>
  <si>
    <t>SFP Colour - High Level (PPM: 40+,  Minimum Engine Life: 500,000)</t>
  </si>
  <si>
    <t>SFP B&amp;W - High Level (PPM: 40+,  Minimum Engine Life: 500,000)</t>
  </si>
  <si>
    <t>SFP B&amp;W - Medium Level (PPM: 30-39,  Minimum Engine Life: 200,000)</t>
  </si>
  <si>
    <t>SFP B&amp;W - Low Level (PPM: &lt;30,  Minimum Engine Life: 150,000)</t>
  </si>
  <si>
    <t>MFD B&amp;W - High Level (PPM: 60+,  Minimum Engine Life: 1,500,000)</t>
  </si>
  <si>
    <t>MFD Colour - Low Level (PPM: 30-39,  Minimum Engine Life: 240,000)</t>
  </si>
  <si>
    <t>MFD Colour - Medium Level (PPM: 40-59,  Minimum Engine Life: 500,000)</t>
  </si>
  <si>
    <t>MFD Colour - High Level (PPM: 60+,  Minimum Engine Life: 1,500,000)</t>
  </si>
  <si>
    <t>MFD B&amp;W - Medium Level (PPM: 40-59,  Minimum Engine Life: 500,000)</t>
  </si>
  <si>
    <t>MFD B&amp;W - Low Level (PPM: 30-39,  Minimum Engine Life: 240,000)</t>
  </si>
  <si>
    <t>Device Price</t>
  </si>
  <si>
    <t>Colour CPC</t>
  </si>
  <si>
    <t>Black &amp; White CPC</t>
  </si>
  <si>
    <t>BW CPC Total</t>
  </si>
  <si>
    <t>Colour CPC Total</t>
  </si>
  <si>
    <t>Device Total</t>
  </si>
  <si>
    <t>Device Type</t>
  </si>
  <si>
    <t>Filter Settings</t>
  </si>
  <si>
    <t>Ranking</t>
  </si>
  <si>
    <t>Matching Devices</t>
  </si>
  <si>
    <t>Average TCO</t>
  </si>
  <si>
    <t>Lowest TCO</t>
  </si>
  <si>
    <t>Rank</t>
  </si>
  <si>
    <t>Medium
PPM: 40-59
Min Engine Life: 500K</t>
  </si>
  <si>
    <t>High
PPM: 60+
Min Engine Life: 1.5M</t>
  </si>
  <si>
    <t>Entry
PPM: Under 30
Min Engine Life: 160K</t>
  </si>
  <si>
    <t>Low
PPM: Under 30
Min Engine Life: 150K</t>
  </si>
  <si>
    <t>High
PPM: 40+
Min Engine Life: 500K</t>
  </si>
  <si>
    <t>Total TCO</t>
  </si>
  <si>
    <t>CPC BW Price</t>
  </si>
  <si>
    <t>CPC Colour Price</t>
  </si>
  <si>
    <t>Total Device Costs</t>
  </si>
  <si>
    <t>Total CPC Costs</t>
  </si>
  <si>
    <t>1.1B - 6_NOise Level (dB)</t>
  </si>
  <si>
    <t>1.1B - 24_Scan to email, server/FTP (YES/NO, details if NO)</t>
  </si>
  <si>
    <t>1.1B - 27_Scan to email, server/FTP (YES/NO, details if NO)</t>
  </si>
  <si>
    <t>NO - (Duplex Automatic Document Feeder is Standard)</t>
  </si>
  <si>
    <t>NO (Dual Automatic Document Feeder is Standard)</t>
  </si>
  <si>
    <t>NO - (Duplex Automatic Document Feeder is Std)</t>
  </si>
  <si>
    <t>MoNO = 187,000
Colour = 157,000</t>
  </si>
  <si>
    <t>MoNO = 220,000
Colour = 193,000</t>
  </si>
  <si>
    <t>MoNO = 239,000
Colour = 206,000</t>
  </si>
  <si>
    <t>MoNO = 255,000
Colour = 238,000</t>
  </si>
  <si>
    <t>MoNO = 270,000
Colour = 250,000</t>
  </si>
  <si>
    <t>MoNO = 216,000
Colour = 207,000</t>
  </si>
  <si>
    <t>NOt Applicable</t>
  </si>
  <si>
    <t>Est Copies per annum</t>
  </si>
  <si>
    <t>STD</t>
  </si>
  <si>
    <r>
      <t xml:space="preserve">This worksheet:  </t>
    </r>
    <r>
      <rPr>
        <sz val="10"/>
        <rFont val="Arial"/>
        <family val="2"/>
      </rPr>
      <t xml:space="preserve">displays all upgrades available for Product Catalogue listed  BW MFDs in order by Supplier.  </t>
    </r>
  </si>
  <si>
    <r>
      <t xml:space="preserve">This worksheet:  </t>
    </r>
    <r>
      <rPr>
        <sz val="10"/>
        <rFont val="Arial"/>
        <family val="2"/>
      </rPr>
      <t xml:space="preserve">displays all upgrades available for Product Catalogue listed colour MFDs in order by Supplier.  </t>
    </r>
  </si>
  <si>
    <r>
      <t xml:space="preserve">This worksheet:  </t>
    </r>
    <r>
      <rPr>
        <sz val="10"/>
        <rFont val="Arial"/>
        <family val="2"/>
      </rPr>
      <t xml:space="preserve">displays all upgrades available for Product Catalogue listed Colour SFPs in order by Supplier.  </t>
    </r>
  </si>
  <si>
    <r>
      <t xml:space="preserve">This worksheet:  </t>
    </r>
    <r>
      <rPr>
        <sz val="10"/>
        <rFont val="Arial"/>
        <family val="2"/>
      </rPr>
      <t xml:space="preserve">displays all upgrades available for Product Catalogue listed BW SFPs in order by Supplier.  </t>
    </r>
  </si>
  <si>
    <t>Panel 2 - SFP BW Upgrades Available</t>
  </si>
  <si>
    <t>Software &amp; Accessories Pricing</t>
  </si>
  <si>
    <r>
      <t xml:space="preserve">This worksheet:  </t>
    </r>
    <r>
      <rPr>
        <sz val="10"/>
        <rFont val="Arial"/>
        <family val="2"/>
      </rPr>
      <t xml:space="preserve">displays software and associated accessories available for Product Catalogue listed MFDs &amp; SFPs in order by Supplier.  </t>
    </r>
  </si>
  <si>
    <r>
      <t xml:space="preserve">This worksheet:  </t>
    </r>
    <r>
      <rPr>
        <sz val="10"/>
        <rFont val="Arial"/>
        <family val="2"/>
      </rPr>
      <t xml:space="preserve">displays professional services to support the implementation and ongoing maintenance of MFDs &amp; SFPs in order by Supplier.  </t>
    </r>
  </si>
  <si>
    <t xml:space="preserve">YES - Scan to USB/SD, Scan to email, Scan to folders
(FTP, NCP, SMB) </t>
  </si>
  <si>
    <t>YES with optonal HDD</t>
  </si>
  <si>
    <t xml:space="preserve">YES  - Standard 1,000
With HDD 2,000 </t>
  </si>
  <si>
    <t>Circuit: PSTN, PBX
Compatibility: ITU-T (CCITT) G3
Modem speed: Maximum: 33.6 Kbps
Scanning speed: 2.4 second(s)
Memory capacity: 4 MB
Memory backup: YES</t>
  </si>
  <si>
    <t>YES - Scan to USB/SD, Scan to email, Scan to webmail, Scan to folder
(SMB, FTP), Scan to URL, Scan to PDF/A, Scan to searchable PDF</t>
  </si>
  <si>
    <t>YES - E-mail, Folder, USB, SD card, SMB, FTP, URL, PDF/A,
Searchable PDF (embedded)(option)</t>
  </si>
  <si>
    <t xml:space="preserve">YES - Scan to USB/SD, Scan to email, Scan to webmail, Scan to folder
(SMB, FTP), Scan to URL, Scan to PDF/A, Scan to searchable
PDF </t>
  </si>
  <si>
    <t>YES. Secured Job feature available with optional HDD installed.</t>
  </si>
  <si>
    <t>YES - E-mail/Folder (SMB/FTP)</t>
  </si>
  <si>
    <t>YES with Optional HDD</t>
  </si>
  <si>
    <t>NO, Optional Extra</t>
  </si>
  <si>
    <t xml:space="preserve">Communication PSTN/PBX Transmission Mode G3 Transmission Speed 33.6 kbps Memory 4MB Applicable Lines 1 port (G3 x 1) 
Scanning Resolution 
200 x 100 dpi (Standard) 200 x 200 dpi (Fine) 400 x 400 dpi (Super Fine) Compression MH, MR, MMR, JBIG, JPEG Send Document Size  Max: 216 × 356 mm Recording Document Size A5 to 216 × 356 mm One-Touch Up to 8 locations Speed Dials Up to 200 locations PC/LAN Fax YES Fax Forward to Email NO Internet Fax NO </t>
  </si>
  <si>
    <t>3602P/4402P/4702P are printers only and SMB/FTP scan or scan-to-email functions are NOt available. They can only send automated NOtification emails to designated admin email address.</t>
  </si>
  <si>
    <t>Windows® environments: Windows® XP, Windows® Vista,
Windows® 7, Windows® 8.1,
Windows® Server 2003, Windows®
Server 2008, Windows® Server
2008R2, Windows® Server 2012,
Windows® Server 2012R2
Mac OS environments: Macintosh OS X Native v10.6 or later
NOvell® Netware® environments: v6.5 or later</t>
  </si>
  <si>
    <t>Windows® environments: Windows® XP, Windows® Vista, Windows® 7,
Windows® 8, Windows® 8.1, Windows® Server 2003,
Windows® Server 2008, Windows® Server 2012
Mac OS environments: Macintosh OS X v10.5 or later
NOvell® Netware® environments: v6.5 (Option)</t>
  </si>
  <si>
    <t>Windows® environments: Windows® XP/Vista/7/8/8.1/Server 2003/Server 2008/
Server 2012
Mac OS environments: Macintosh OS X v10.5 or later
NOvell® Netware®
environments: v6.5 (Option)</t>
  </si>
  <si>
    <t>C3100P is printer only and canNOt do SMB/FTP scan or scan-to-email. C3100P can send automated NOtification emails to designated admin email address.</t>
  </si>
  <si>
    <t>Table 1 - CUA Minimum Discounts for Non-Product Catalogue MFDs</t>
  </si>
  <si>
    <t>Table 2 - CUA Minimum Discounts for Non-Product Catalogue SFPs</t>
  </si>
  <si>
    <r>
      <t xml:space="preserve">This worksheet: </t>
    </r>
    <r>
      <rPr>
        <sz val="10"/>
        <rFont val="Arial"/>
        <family val="2"/>
      </rPr>
      <t xml:space="preserve"> Includes all minimum discounts applicable if a Customer seeks quotes for non-Product Catalogue List products &amp; services. </t>
    </r>
  </si>
  <si>
    <t>All</t>
  </si>
  <si>
    <t>1.1A - 5_Pages per minute () - within level</t>
  </si>
  <si>
    <t>Zone 2 - Albany within 20km</t>
  </si>
  <si>
    <t>Zone 2 - Other</t>
  </si>
  <si>
    <t>Zone 3 - Other</t>
  </si>
  <si>
    <t>Zone 3 - Broome within 20km</t>
  </si>
  <si>
    <t>Zone 2 - Bunbury within 20km</t>
  </si>
  <si>
    <t>Zone 3 - Port Hedland within 20km</t>
  </si>
  <si>
    <t>Zone 3 - Carnarvon within 20km</t>
  </si>
  <si>
    <t>Zone 3 - Esperance within 20km</t>
  </si>
  <si>
    <t>Zone 3 - Geraldton within 20km</t>
  </si>
  <si>
    <t>Zone 3 - Kalgoorlie within 20km</t>
  </si>
  <si>
    <t>Zone 3 - Karratha within 20km</t>
  </si>
  <si>
    <t>Zone 3 - Kununurra within 20km</t>
  </si>
  <si>
    <t>Please refer to page 5 of the User Guide for further information</t>
  </si>
  <si>
    <t>Please refer to page 9 of the User Guide for further information</t>
  </si>
  <si>
    <t>Revision Date</t>
  </si>
  <si>
    <t>Supplier(s)</t>
  </si>
  <si>
    <t>Change Type</t>
  </si>
  <si>
    <t>Actioned By</t>
  </si>
  <si>
    <t>Rob Larkins</t>
  </si>
  <si>
    <t>Product Catalouge List update</t>
  </si>
  <si>
    <t>Devices Impacted</t>
  </si>
  <si>
    <t>Pricing Change</t>
  </si>
  <si>
    <t>TypeStatus</t>
  </si>
  <si>
    <t>Total MFD-Colour</t>
  </si>
  <si>
    <t>Total MFD-BW</t>
  </si>
  <si>
    <t xml:space="preserve">Last Updated: </t>
  </si>
  <si>
    <t>Minimum discounts by type applicable to Panels 1 &amp; 2</t>
  </si>
  <si>
    <t>Comment</t>
  </si>
  <si>
    <t>Product IDs  and RRP pricing changed, all CUA prices and specs the same</t>
  </si>
  <si>
    <t>7 (5 Colour MFD, 2 BW MFD)</t>
  </si>
  <si>
    <t>1102XP3AU0</t>
  </si>
  <si>
    <t>TASKalfa 7353ci</t>
  </si>
  <si>
    <t>1102XN3AU0</t>
  </si>
  <si>
    <t>TASKalfa 8353ci</t>
  </si>
  <si>
    <t>IM 430F</t>
  </si>
  <si>
    <t>ACET041</t>
  </si>
  <si>
    <t>bizhub 4000i</t>
  </si>
  <si>
    <t>P 800</t>
  </si>
  <si>
    <t>Device ID</t>
  </si>
  <si>
    <t>Lists devices ordered from the lowest TCO based on estimated usage information</t>
  </si>
  <si>
    <t>Product Catalogue Version UpdATE</t>
  </si>
  <si>
    <t>Version 1.1 to clean up minor inconsistencies prior to reconciling with database</t>
  </si>
  <si>
    <t>30 - 39ppm</t>
  </si>
  <si>
    <t>Low
PPM: 30-39
Min Engine Life: 240K</t>
  </si>
  <si>
    <t>Medium
PPM: 30-39
Min Engine Life: 200K</t>
  </si>
  <si>
    <t>SFPSups</t>
  </si>
  <si>
    <t>APC2060</t>
  </si>
  <si>
    <t>Black = CT202488
Cyan = CT202489
Magenta = CT202490
Yellow = CT202491</t>
  </si>
  <si>
    <t>Black Yield = 22,000 prints
C, Y, M = 15,000 prints ea.</t>
  </si>
  <si>
    <t>MoNO = 73,400
Colour = 73,400</t>
  </si>
  <si>
    <t>Waste Toner Bottle - P/N CWAA0885 - 33,000 prints</t>
  </si>
  <si>
    <t xml:space="preserve">A5 - A3 Main Tray
148mmx210mm to 279mm x 432mm via bypass Tray (A5 to A3)
</t>
  </si>
  <si>
    <t>B&amp;W 5.9 seconds
Colour 8.1 seconds</t>
  </si>
  <si>
    <t>22 Seconds or less</t>
  </si>
  <si>
    <t>14 to 54.8 dB</t>
  </si>
  <si>
    <t>A5 - A3 Main Tray
148mmx210mm to 279mm x 431mm via bypass Tray</t>
  </si>
  <si>
    <t>60 - 256 GSM</t>
  </si>
  <si>
    <t xml:space="preserve">596 Sheets </t>
  </si>
  <si>
    <t>96 (80 gsm)</t>
  </si>
  <si>
    <t>Sleep Mode = .4W
Stand-By = 83W
Max. = 1.92kW</t>
  </si>
  <si>
    <t>4Gb RAM + 128Gb SSD</t>
  </si>
  <si>
    <t xml:space="preserve">Ethernet 1000BASE-T / 100BASE-TX / 10BASE-T - STANDARD - Wireless LAN (optional)
</t>
  </si>
  <si>
    <t>TCP/IP (lpd, IPP, Port9100)</t>
  </si>
  <si>
    <t>PCL6 - Windows 10 (32 bit)
Windows 8.1 (32 bit)
Windows Server 2019 (64 bit)
Windows Server 2012 R2 (64 bit)
Windows 10 (64 bit)
Windows 8.1 (64 bit)
Windows Server 2016 (64 bit)
Windows Server 2012 (64 bit)
Mac OS X-Driver - macOS 10.15 / 10.14 / 10.13 / 10.12, OS X 10.11</t>
  </si>
  <si>
    <t>PCL6, PCL5 (Standard)
Adobe PostScript 3 (Option)</t>
  </si>
  <si>
    <t>Black = CT203346
Cyan = CT203347
Magenta = CT203348
Yellow = CT203349</t>
  </si>
  <si>
    <t>Black Yield = 15,000 prints
C, Y, M = 11,000 prints ea.</t>
  </si>
  <si>
    <t>CMYK = 60,000</t>
  </si>
  <si>
    <t>Waste Toner Bottle - P/N EL500293 - 30,000 Prints
Fuser unit - P/N CWAA0959 - 100,000 Prints</t>
  </si>
  <si>
    <t>B&amp;W 7.5 seconds
Colour 8 seconds</t>
  </si>
  <si>
    <t>33 Seconds or Less</t>
  </si>
  <si>
    <t>Engine Life is rated at 600,000</t>
  </si>
  <si>
    <t>Stand-By = 5.3 dB
Continuous Running = 53.5 dB</t>
  </si>
  <si>
    <t>1200 x 1200 dpi, 1,200 x 2,400 dpi</t>
  </si>
  <si>
    <t>1200 x 2400 dpi</t>
  </si>
  <si>
    <t>A6 - A4, Letter, Legal</t>
  </si>
  <si>
    <t>60 - 220gsm</t>
  </si>
  <si>
    <t>Deep Sleep = .4W
Sleep Mode = .5W
Stand-By = 77W
Running = 715W
Max.= 1,410W</t>
  </si>
  <si>
    <t>4Gb / 128Gb SSD</t>
  </si>
  <si>
    <t>Standard Ethernet 1000BASE-T/100BASE-TX/10BASE-T,
USB3.0, USB2.0
Option Wireless LAN (IEEE 802.11 a / b / g / n / ac)</t>
  </si>
  <si>
    <t>Standard
[PCL Driver]
Window s 10 (32 bit / 64 bit), Window s 8.1 (32 bit / 64 bit),
Window s Server 2019 (64 bit), Window s Server 2016 (64 bit),
Window s Server 2012 R2 (64 bit),
Window s Server 2012 (64 bit)
[Mac OS X Driver]
macOS 10.15 / 10.14 / 10.13 / 10.12, OS X 10.11
Optional
[Adobe® PostScript® 3TM Driver]
Window s 10 (32 bit / 64 bit), Window s 8.1 (32 bit / 64 bit),
Window s Server 2019 (64 bit), Window s Server 2016 (64 bit),
Window s Server 2012 R2 (64 bit),
Window s Server 2012 (64 bit)
macOS 10.15 / 10.14 / 10.13 / 10.12, OS X 10.11</t>
  </si>
  <si>
    <t>24 Seconds or less</t>
  </si>
  <si>
    <t>Standby - 15.2 Db Run - 54.5 dB</t>
  </si>
  <si>
    <t>4,120 - 4 Tray model with optional HCF (B1)
or
5,105 sheets with tandem tray model + HCF B1</t>
  </si>
  <si>
    <t>Standard - Ethernet 1000BASE-T / 100BASE-TX / 10BASE-T, USB3.0*
Optional - Wireless LAN (IEEE 802.11 a / b / g / n / ac)</t>
  </si>
  <si>
    <t>PCL
Windows 10 (32 bit),Windows 8.1 (32 bit),Windows Server 2019 (64
bit),Windows Server 2012 R2 (64 bit),Windows 10 (64 bit), Windows
8.1 (64 bit),Windows Server 2016 (64 bit), Windows Server 2012 (64
bit)
macOS 10.15 / 10.14 / 10.13 / 10.12, OS X 10.11
Adobe
PostScript®3
Windows 10 (32 bit), Windows 8.1 (32 bit), Windows Server 2019 (64
bit), Windows Server 2012 R2 (64 bit), Windows 10 (64 bit), Windows
8.1 (64 bit), Windows Server 2016 (64 bit),
Windows Server 2012 (64 bit)
macOS 10.15 / 10.14 / 10.13 / 10.12, OS X 10.11</t>
  </si>
  <si>
    <t>MoNO = 198,000
Colour = 1654,000</t>
  </si>
  <si>
    <t>15.3 - Standby / 57 dB - Running</t>
  </si>
  <si>
    <t>4,120 with optional HCF (B1) with 4 tray model
or
Tandem Tray Model: 5105 sheets (Tandem Tray Model + HCF B1)</t>
  </si>
  <si>
    <t>4Gb RAM + 128Gb SSD Kit</t>
  </si>
  <si>
    <t>Standby - 15.3dB / Running - 60 dB</t>
  </si>
  <si>
    <t>Black Yield = 30,000 prints
C, Y, M = 34,000 prints ea.</t>
  </si>
  <si>
    <t>Min A5
[Postcard (100 x 148 mm) and Quadrate NO.3 Envelope (120 x 235 mm) when
using Bypass Tray]
Max SRA3 (320 x 450 mm), 13 x 18" (330 x 457 mm), A3
[13 x 19.2" (330 x 488 mm) when using Bypass Tray]</t>
  </si>
  <si>
    <t>Standby - 5.2 dB / Running - 75 dB</t>
  </si>
  <si>
    <t>Min A5 [Postcard (100 x 148 mm) and Quadrate No.3 Envelope (120 x 235 mm)
when using Bypass Tray]
Max SRA3 (320 x 450 mm), 13 x 18” (330 x 457 mm), [13 x 19.2" (330 x 488 mm)
when using Bypass Tray]</t>
  </si>
  <si>
    <t>Sleep Mode = .7W
Stand-By = 156W
Max. = 2.2kW</t>
  </si>
  <si>
    <t>4Gb RAM + 320GB HDD</t>
  </si>
  <si>
    <t xml:space="preserve">Ethernet 1000BASE-T / 100BASE-TX / 10BASE-T, USB3.0 
</t>
  </si>
  <si>
    <t>Standard - [PCL Driver]
Windows 10 (32bit / 64bit)
Windows 8.1 (32bit / 64bit)
Windows 7 (32bit / 64bit)
Windows Server 2019 (64bit)
Windows Server 2016 (64bit)
Windows Server 2012 R2 (64bit)
Windows Server 2012 (64bit)
Windows Server 2008 R2 (64bit)
Windows Server 2008 (32bit / 64bit)
[Mac OS X Driver]
macOS 10.14 / 10.13 / 10.12
OS X 10.11/ 10.10
Optional - [Adobe® PostScript® 3TM Driver]
Windows 10 (32bit / 64bit)
Windows 8.1 (32bit / 64bit)
Windows 7 (32bit / 64bit)
Windows Server 2019 (64bit)
Windows Server 2016 (64bit)
Windows Server 2012 R2 (64bit)
Windows Server 2012 (64bit)
Windows Server 2008 R2 (64bit)
Windows Server 2008 (32bit / 64bit)
macOS 10.14 / 10.13 / 10.12
OS X 10.11/ 10.10</t>
  </si>
  <si>
    <t xml:space="preserve">PCL6, PCL5 (Standard) - Optional - Adobe PostScript® 3 </t>
  </si>
  <si>
    <t>Black = CT201702
Cyan = CT201703
Magenta = CT201704
Yellow = CT201705</t>
  </si>
  <si>
    <t>Black Yield = 30,000 prints
Cyan and Yellow = 34,000 prints ea.
Magenta = 31,700 prints</t>
  </si>
  <si>
    <t xml:space="preserve">Black = 212,000
CMY = 83,000
</t>
  </si>
  <si>
    <t xml:space="preserve">A5 - SRA3 Main Trays
140mm x 182 mm to 330mm x 458mm 
Banner Printing - 330mm x 488 to 330mm x 660mm
</t>
  </si>
  <si>
    <t>Black - 4.1 seconds or less
Colour - 6.5 seconds or less</t>
  </si>
  <si>
    <t>Engine Life is rated at 6,000,000</t>
  </si>
  <si>
    <t>Sleep Mode - .9W
Stand by - 164W
Running - 1.05 KW</t>
  </si>
  <si>
    <t xml:space="preserve">Min: 98 x 148 mm Max: 330 x 660mm </t>
  </si>
  <si>
    <t>60 - 350 GSM</t>
  </si>
  <si>
    <t>7,260 Sheets</t>
  </si>
  <si>
    <t>Sleep Mode = .9W
Stand-By = 164W
Max. = 2.4kW</t>
  </si>
  <si>
    <t xml:space="preserve">Ethernet: 1000BASE-T / 100BASE-TX / 10BASE-T x 2
USB: USB3.0 x 4, USB2.0 x 2
</t>
  </si>
  <si>
    <t>TCP/IP (lpd/FTP/IPP*2 /SMB/JDF/HTTP), AppleTalk*3 , Bonjour</t>
  </si>
  <si>
    <t>Windows 10 (32bit), Windows 10 (64bit), Windows 8.1 (32bit)
Windows 8.1 (64bit), Windows 7 (32bit) [Service Pack 1]
Windows 7 (64bit) [Service Pack 1]
Windows Server 2019 (64bit), Windows Server 2016 (64bit)
Windows Server 2012 R2 (64bit), Windows Server 2012 (64bit)
Windows Server 2008 R2 (64bit) [Service Pack 1]
Windows Server 2008 (32bit) [Service Pack 2]
Windows Server 2008 (64bit) [Service Pack 2]
macOS 10.14 Mojave, macOS 10.13 High Sierra
macOS 10.12 Sierra, OS X 10.11 El Capitan, OS X 10.10 Yosemite</t>
  </si>
  <si>
    <t>Adobe® PostScript® 3™, PDF/VT-1, PDF/VT-2, PPML, VIPP*1</t>
  </si>
  <si>
    <t xml:space="preserve">
A5 - A3 (Max. 297mm x 432mm)
</t>
  </si>
  <si>
    <t>Standby -14 dB / Running 55 dB</t>
  </si>
  <si>
    <t>Sleep Mode = .4W
Stand-By = 93W
Running = 560W
Max. = 1.92kW</t>
  </si>
  <si>
    <t>4GB + 128GB SSD</t>
  </si>
  <si>
    <t>Standard Ethernet 1000BASE-T / 100BASE-TX / 10BASE-T, USB3.0
Optional Wireless LAN (IEEE 802.11 a / b / g / n / ac)</t>
  </si>
  <si>
    <t>TCP/IP (lpd, IPP, Port9100）</t>
  </si>
  <si>
    <t>PCL
Windows 10 (32 bit)
Windows 8.1 (32 bit)
Windows Server 2019 (64 bit)
Windows Server 2012 R2 (64 bit)
Windows 10 (64 bit)
Windows 8.1 (64 bit)
Windows Server 2016 (64 bit)
Windows Server 2012 (64 bit)
Mac OS XDriver macOS 10.15 / 10.14 / 10.13 / 10.12, OS X 10.11
Adobe
PostScript
®3 TM
Windows 10 (32 bit)
Windows 8.1 (32 bit)
Windows Server 2019 (64 bit)
Windows Server 2012 R2 (64 bit)
Windows 10 (64 bit)
Windows 8.1 (64 bit)
Windows Server 2016 (64 bit)
Windows Server 2012 (64 bit)</t>
  </si>
  <si>
    <t>Rated Engine Life is 1,800,000</t>
  </si>
  <si>
    <t>ApeosPort 3560</t>
  </si>
  <si>
    <t xml:space="preserve">A6 - A4, Letter, Legal
</t>
  </si>
  <si>
    <t>60 - 220 gsm</t>
  </si>
  <si>
    <t xml:space="preserve">4GB + 128GB SSD  
</t>
  </si>
  <si>
    <t>CT203400</t>
  </si>
  <si>
    <t>Yield = 36,000 Prints</t>
  </si>
  <si>
    <t xml:space="preserve">
A5 - A3S (Max. 320mm x 450mm)
</t>
  </si>
  <si>
    <t>3.6 Seconds</t>
  </si>
  <si>
    <t>24 Seconds or Less</t>
  </si>
  <si>
    <t>600 x 600dpi</t>
  </si>
  <si>
    <t>52 - 300 gsm</t>
  </si>
  <si>
    <t>1,090 Sheets</t>
  </si>
  <si>
    <t>5,105 Sheets</t>
  </si>
  <si>
    <t>Sleep Mode = .5W
Stand-By = 89W
Running = 2.2KW
Max. = 2.2kW</t>
  </si>
  <si>
    <t>TCP/IP (lpd, IPP, Port9100, WSD*3, ThinPrint®)</t>
  </si>
  <si>
    <t>PCL
Windows 10 (32 bit),Windows 8.1 (32 bit),Windows Server
2019 (64 bit),Windows Server 2012 R2 (64 bit),Windows 10 (64
bit), Windows 8.1 (64 bit),Windows Server 2016 (64 bit),
Windows Server 2012 (64 bit)
macOS 10.15 / 10.14 / 10.13 / 10.12, OS X 10.11
Adobe
PostScript®3
Windows 10 (32 bit), Windows 8.1 (32 bit), Windows Server
2019 (64 bit), Windows Server 2012 R2 (64 bit), Windows 10
(64 bit), Windows 8.1 (64 bit), Windows Server 2016 (64 bit),
Windows Server 2012 (64 bit)
macOS 10.15 / 10.14 / 10.13 / 10.12, OS X 10.11</t>
  </si>
  <si>
    <t>PCL6, PCL5 (Standard) Adobe PostScript® 3TM (optional)</t>
  </si>
  <si>
    <t>TASKalfa 358ci</t>
  </si>
  <si>
    <t>TASKalfa 408ci</t>
  </si>
  <si>
    <t>Ecosys M2040dn</t>
  </si>
  <si>
    <t>C450ib1-WA</t>
  </si>
  <si>
    <t>bizhub C450i</t>
  </si>
  <si>
    <t>C550ib1-WA</t>
  </si>
  <si>
    <t>bizhub C550i</t>
  </si>
  <si>
    <t>C650ib1-WA</t>
  </si>
  <si>
    <t>bizhub C650i</t>
  </si>
  <si>
    <t>ACF1041</t>
  </si>
  <si>
    <t>bizhub 5000i</t>
  </si>
  <si>
    <t>ACEVWY1</t>
  </si>
  <si>
    <t>PF-P23: Paper Feed Unit (250 sheets)</t>
  </si>
  <si>
    <t>ACEWWY1</t>
  </si>
  <si>
    <t>PF-P24: Paper Feed Unit (520 sheets)</t>
  </si>
  <si>
    <t>EC103539</t>
  </si>
  <si>
    <t>EM100490</t>
  </si>
  <si>
    <t>CABINET</t>
  </si>
  <si>
    <t>3 Tray Module - Convert MFD to Floor Standing - 3 X additional 500 sheet paper tray</t>
  </si>
  <si>
    <t>External access kit</t>
  </si>
  <si>
    <t>Adobe PostScript 3 Kit</t>
  </si>
  <si>
    <t>USB Hub</t>
  </si>
  <si>
    <t>P C600</t>
  </si>
  <si>
    <t>MP 305+SPF</t>
  </si>
  <si>
    <t>1102P43AS0</t>
  </si>
  <si>
    <t>ECOSYS M8124cidn</t>
  </si>
  <si>
    <t>60 - 256</t>
  </si>
  <si>
    <t>1T02RV0AS0, 1T02TVAAS0, 1T02TVBAS0, 1T02TVCAS0</t>
  </si>
  <si>
    <t>TK-5274 (K - 8K, Y, M, C - 6K each)</t>
  </si>
  <si>
    <t>MK-5144 200,000 pages</t>
  </si>
  <si>
    <t xml:space="preserve">Standard Super G3 Fax </t>
  </si>
  <si>
    <t>format update and new products</t>
  </si>
  <si>
    <t>Product Catalogue now version 1.2 including fixing some formatting etc in workbook.</t>
  </si>
  <si>
    <t>SOME</t>
  </si>
  <si>
    <t>ALL Four</t>
  </si>
  <si>
    <t>IM C300F</t>
  </si>
  <si>
    <t>High (90+ ppm)</t>
  </si>
  <si>
    <t>1102XT3AU0</t>
  </si>
  <si>
    <t>TASKalfa 9003i</t>
  </si>
  <si>
    <t>SH-12 1903NB0UN0 &amp; SH-14 1903S80UN0</t>
  </si>
  <si>
    <t>300ib1-WA</t>
  </si>
  <si>
    <t>bizhub 300i</t>
  </si>
  <si>
    <t>360ib1-WA</t>
  </si>
  <si>
    <t>bizhub 360i</t>
  </si>
  <si>
    <t>450ib1-WA</t>
  </si>
  <si>
    <t>bizhub 450i</t>
  </si>
  <si>
    <t>750ib1-WA</t>
  </si>
  <si>
    <t>bizhub 750i</t>
  </si>
  <si>
    <t>C250i-WA</t>
  </si>
  <si>
    <t>bizhub C250i</t>
  </si>
  <si>
    <t>C300i-WA</t>
  </si>
  <si>
    <t>bizhub C300i</t>
  </si>
  <si>
    <t>C360i-WA</t>
  </si>
  <si>
    <t>bizhub C360i</t>
  </si>
  <si>
    <t>C750i-WA</t>
  </si>
  <si>
    <t>bizhub C750i</t>
  </si>
  <si>
    <t>550ib1-WA</t>
  </si>
  <si>
    <t>bizhub 550i</t>
  </si>
  <si>
    <t>650ib1-WA</t>
  </si>
  <si>
    <t>bizhub 650i</t>
  </si>
  <si>
    <t>C227ib-WA</t>
  </si>
  <si>
    <t>bizhub C227i</t>
  </si>
  <si>
    <t>1102YP3AU0</t>
  </si>
  <si>
    <t>TASKalfa 2554ci</t>
  </si>
  <si>
    <t>1T02YP0AU0, 1T02YPAAU0, 1T02YPBAU0, 1T02YPCAU0</t>
  </si>
  <si>
    <t>TK-8369 (K - 25K, Y, M, C - 12K each)</t>
  </si>
  <si>
    <t>MK-8335A 200K, MK-8335B 200K, MK-8345D 600K, MK-8345E 600K</t>
  </si>
  <si>
    <t>1102YP3ASX</t>
  </si>
  <si>
    <t>TASKalfa 3554ci</t>
  </si>
  <si>
    <t>1T02XD0AU0, 1T02XDAAU0, 1T02XDBAU0, 1T02XDCAU0</t>
  </si>
  <si>
    <t>TK-8379 (K - 30K, Y, M, C - 20K each)</t>
  </si>
  <si>
    <t>1203V43NL0</t>
  </si>
  <si>
    <t>1203V53NL0</t>
  </si>
  <si>
    <t>1203V83NL0</t>
  </si>
  <si>
    <t>AK-7110 Attachment kit for the 1000 and 4000 sheet finishers (A3 TASKalfa MFD's)</t>
  </si>
  <si>
    <t>1203V25AU0</t>
  </si>
  <si>
    <t>1203V35AU0</t>
  </si>
  <si>
    <t>1203TC5AU0</t>
  </si>
  <si>
    <t>1203TD5AU0</t>
  </si>
  <si>
    <t>822LD07189</t>
  </si>
  <si>
    <t>Fujifilm Business Innovation</t>
  </si>
  <si>
    <t>Fuji Business Innovation</t>
  </si>
  <si>
    <t>Fuji Business Innovation Professional Services &amp; Project Management/Day</t>
  </si>
  <si>
    <t>Supports Fuji Business Innovation Devices &amp; eligible Third Party Devices</t>
  </si>
  <si>
    <t>Supports Fuji Business Innovation Devices</t>
  </si>
  <si>
    <t>Fuji Business Innovation - Equitrac</t>
  </si>
  <si>
    <t>Fuji Business Innovation welcomes further enagagement with WA Government &amp; Agencies/Departments to configure the most appropriate solution based on requirements</t>
  </si>
  <si>
    <t>Vendor agnostic solution which support a range of eligible Fuji Business Innovation &amp; Third Party devices</t>
  </si>
  <si>
    <t>Currently Fuji Business Innovation Equitrac, PaperCut and Ysoft solutions are Price On Application (POA).  Fuji Business Innovation welcomes further enagagement with WA Government &amp; Agencies/Departments to configure the most appropriate solution based on requirements</t>
  </si>
  <si>
    <t>Fuji Business Innovation - PaperCut</t>
  </si>
  <si>
    <t>Fuji Business Innovation - Ysoft</t>
  </si>
  <si>
    <t>Fuji Business Innovation recommends formal testing of supplied examples of Agency/Department current access cards and preferred authentication methods to ensure full compatibility with our Print Management Solution Access Card Readers.</t>
  </si>
  <si>
    <t>Fuji Business Innovation - Equitrac Card Readers</t>
  </si>
  <si>
    <t>Fuji Business Innovation - PaperCut Card Readers</t>
  </si>
  <si>
    <t>Fuji Business Innovation - Ysoft Card Readers</t>
  </si>
  <si>
    <t>IM 3000</t>
  </si>
  <si>
    <t>IM 7000</t>
  </si>
  <si>
    <t>IM 9000</t>
  </si>
  <si>
    <t>1102YN3AU0</t>
  </si>
  <si>
    <t>TASKalfa 4054ci</t>
  </si>
  <si>
    <t>822UG05054</t>
  </si>
  <si>
    <t>TASKalfa 5054ci</t>
  </si>
  <si>
    <t>1T02YM0AU0, 1T02YMCAU0, 1T02YMBAU0, 1T02YMAAU0</t>
  </si>
  <si>
    <t>TK-8549(K - 30K, C, M, Y - 20K each)</t>
  </si>
  <si>
    <t>1T02XC0AU0, 1T02XCCAU0, 1T02XCBAU0, 1T02XCAAU0</t>
  </si>
  <si>
    <t>TK-8559(K - 40K, C, M, Y - 24K each)</t>
  </si>
  <si>
    <t>MK-8535A 600,000 Black pges, MK-8525B 600,000 colours pges</t>
  </si>
  <si>
    <t>822UG06054</t>
  </si>
  <si>
    <t>TASkalfa 6054ci</t>
  </si>
  <si>
    <t>MK-8535A 600,000 black pges, MK-8535B 600,000 colour pges</t>
  </si>
  <si>
    <t>1102YS3AU0</t>
  </si>
  <si>
    <t>TASKalfa 5004i</t>
  </si>
  <si>
    <t>1T02XF0AU0</t>
  </si>
  <si>
    <t>TK-6349 - 40,000 pages</t>
  </si>
  <si>
    <t>MK-6345 - 600000</t>
  </si>
  <si>
    <t>822UG06004</t>
  </si>
  <si>
    <t>TASkalfa 6004i</t>
  </si>
  <si>
    <t>822UG07004</t>
  </si>
  <si>
    <t>TASKalfa 7004i</t>
  </si>
  <si>
    <t>Ivor Lee</t>
  </si>
  <si>
    <t>Kyocera updates approved by IL and updated.</t>
  </si>
  <si>
    <t>N/A - Spreadsheet</t>
  </si>
  <si>
    <t>Format Update</t>
  </si>
  <si>
    <t>Reincorporate S&amp;I.</t>
  </si>
  <si>
    <t>Surcharge &amp; Installation</t>
  </si>
  <si>
    <t>Device by Lowest TCO</t>
  </si>
  <si>
    <t>Max TCO</t>
  </si>
  <si>
    <t>Avg CPC</t>
  </si>
  <si>
    <t>Panel 1 - MFD Colour - Device List</t>
  </si>
  <si>
    <t>IM C6500</t>
  </si>
  <si>
    <t>IM C8000</t>
  </si>
  <si>
    <t>IM 550F</t>
  </si>
  <si>
    <t>IM 6000</t>
  </si>
  <si>
    <t>P 502</t>
  </si>
  <si>
    <t>AC325z</t>
  </si>
  <si>
    <t>Apeos C325z</t>
  </si>
  <si>
    <t>Black = CT203486
Cyan = CT203487
Magenta = CT203488
Yellow = CT203489</t>
  </si>
  <si>
    <t>All Colour Toner Cartridges have a rated yield of 4,000 prints each and the Black Toner Cartridge rated yield is 6,000 pages</t>
  </si>
  <si>
    <t>Waste Toner Bottle - P/N CWAA0980 Yield 6,000</t>
  </si>
  <si>
    <t>B&amp;W = 9.5 sec
Colour = 12 sec</t>
  </si>
  <si>
    <t>35 sec From Power on
17 sec from Sleep mode</t>
  </si>
  <si>
    <t>Recommended Monthly Maximum Average 2,000</t>
  </si>
  <si>
    <t>Standby - 0.0 dB
Running - 6.99 dB</t>
  </si>
  <si>
    <t>Sleep = .5W
Ready Mode = 41W
Running = 419W</t>
  </si>
  <si>
    <t xml:space="preserve">512Mb </t>
  </si>
  <si>
    <t>Ethernet 1000BASE-T/100BASE-TX/10BASE-T,
USB2.0, Wireless LAN (IEEE 802.11 a / b / g / n / ac)</t>
  </si>
  <si>
    <t>TCP/IP (SMB, FTP, WSD)</t>
  </si>
  <si>
    <t>Windows 10 (32 bit / 64 bit), Windows 8.1 (32 bit / 64 bit),
Windows Server 2019 (64 bit), Windows Server 2016 (64 bit),
Windows Server 2012 R2 (64 bit),
Windows Server 2012 (64 bit)
macOS 11*3, 10.15*3 / 10.14*3 / 10.13*3 / 10.12</t>
  </si>
  <si>
    <t>PCL5 / PCL6, PostScript language compatibility</t>
  </si>
  <si>
    <t>AC3070-4</t>
  </si>
  <si>
    <t>Apeos C3070</t>
  </si>
  <si>
    <t>AC3570-4</t>
  </si>
  <si>
    <t>Apeos C3570</t>
  </si>
  <si>
    <t>AC3070-4F</t>
  </si>
  <si>
    <t>Apeos C3070-4F</t>
  </si>
  <si>
    <t>AC4570-4</t>
  </si>
  <si>
    <t>AC5570-4</t>
  </si>
  <si>
    <t>Apeos C7070</t>
  </si>
  <si>
    <t>AC7580</t>
  </si>
  <si>
    <t>Apeos C7580</t>
  </si>
  <si>
    <t>AC8180</t>
  </si>
  <si>
    <t>Apeos C8180</t>
  </si>
  <si>
    <t>60 Months minimum while under valid Fujifilm Business Innovation Maintenance Agreement</t>
  </si>
  <si>
    <t>CT203109</t>
  </si>
  <si>
    <t>Yield = 12,000 Prints</t>
  </si>
  <si>
    <t>27 seconds</t>
  </si>
  <si>
    <t>Rated Engine Life is 300,000</t>
  </si>
  <si>
    <t>Standby 6.95dB/Running - 53 dB</t>
  </si>
  <si>
    <t>Sleep Mode = 1.1W
Stand-By = 34W
Running = 805W
Max. = 2.2kW</t>
  </si>
  <si>
    <t>1,200 x 1,200, 600 x 600dpi, 400 x 400dpi, 300 x 300dpi, 200 x 200dpi</t>
  </si>
  <si>
    <t>Standard Ethernet 1000BASE-T/100BASE-TX/10BASE-T,
USB3.0, USB2.0
Wireless LAN (IEEE 802.11 a / b / g / n / ac)</t>
  </si>
  <si>
    <t>Standard
[PCL Driver]
Windows 10 (32 bit / 64 bit) Windows 8.1 (32 bit / 64 bit)
Windows Server 2019 (64 bit) Windows Server 2016 (64 bit)
Windows Server 2012 R2 (64 bit) Windows Server 2012 (64 bit)
macOS 10.15 / 10.14 / 10.13</t>
  </si>
  <si>
    <t xml:space="preserve">PCL6, PS3 emulation, PDF version 1.7, XPS (XML Paper Specification)
version 1.0
</t>
  </si>
  <si>
    <t>Yes</t>
  </si>
  <si>
    <t>Transmission Time 2 seconds or more but fewer than 3 seconds
Transmission Mode ITU-T G3
Applicable Lines Telephone subscriber line, PBX, Fax Communication (PSTN), Maximum 1 port*2 (G3-1 port)</t>
  </si>
  <si>
    <t>QC100205</t>
  </si>
  <si>
    <t>QC100223</t>
  </si>
  <si>
    <t>EC104362</t>
  </si>
  <si>
    <t>418573A</t>
  </si>
  <si>
    <t>8% increase to hardware</t>
  </si>
  <si>
    <t>ALL</t>
  </si>
  <si>
    <t>Ivor Lee / Rob Larkins</t>
  </si>
  <si>
    <t xml:space="preserve">Variation to increase Ricoh Hardware pricing. </t>
  </si>
  <si>
    <t>M 320F</t>
  </si>
  <si>
    <t>10% + $385</t>
  </si>
  <si>
    <t>10% + $207</t>
  </si>
  <si>
    <t>10% + $396</t>
  </si>
  <si>
    <t>10% + $330</t>
  </si>
  <si>
    <t>13 seconds</t>
  </si>
  <si>
    <t xml:space="preserve"> A4, A5, A6</t>
  </si>
  <si>
    <t>Standard: 300 sheets</t>
  </si>
  <si>
    <t>Maximum: 550 sheets</t>
  </si>
  <si>
    <t xml:space="preserve">50 sheets </t>
  </si>
  <si>
    <t>Memory: Standard:32 MB ROM
256 MB RAM</t>
  </si>
  <si>
    <t>IM 4000</t>
  </si>
  <si>
    <t xml:space="preserve"> A4, A5, A6, B4, B5, B6</t>
  </si>
  <si>
    <t>7.0 seconds</t>
  </si>
  <si>
    <t>60 - 220 g/m²</t>
  </si>
  <si>
    <t>Standard: 600 sheets</t>
  </si>
  <si>
    <t>Maximum: 2,600 sheets</t>
  </si>
  <si>
    <t xml:space="preserve">100 sheets </t>
  </si>
  <si>
    <t xml:space="preserve">Memory: Standard: 2 GB
</t>
  </si>
  <si>
    <t>P 311</t>
  </si>
  <si>
    <t>10% + $232</t>
  </si>
  <si>
    <t>7.1 seconds</t>
  </si>
  <si>
    <t>A4</t>
  </si>
  <si>
    <t>52-162</t>
  </si>
  <si>
    <t>16 MB ROM
128 MB RAM</t>
  </si>
  <si>
    <t>P C311W</t>
  </si>
  <si>
    <t>M C251FW</t>
  </si>
  <si>
    <t>110C0Y3AU0</t>
  </si>
  <si>
    <t>Ecosys PA 4500X</t>
  </si>
  <si>
    <t xml:space="preserve"> N/A - BW </t>
  </si>
  <si>
    <t xml:space="preserve"> $-   </t>
  </si>
  <si>
    <t>IM C2010</t>
  </si>
  <si>
    <t>IM C2510</t>
  </si>
  <si>
    <t>IM C3010</t>
  </si>
  <si>
    <t>IM C3510</t>
  </si>
  <si>
    <t>IM C4510</t>
  </si>
  <si>
    <t>IM C6010</t>
  </si>
  <si>
    <t>IM C400F</t>
  </si>
  <si>
    <t xml:space="preserve"> Fax Option Type M42</t>
  </si>
  <si>
    <t>418211</t>
  </si>
  <si>
    <t xml:space="preserve"> FaxOption Type M52</t>
  </si>
  <si>
    <t>419424</t>
  </si>
  <si>
    <t xml:space="preserve">PU5050 Punch Unit EU 2/4 Hole Punch for SR4140Finisher  </t>
  </si>
  <si>
    <t>418202</t>
  </si>
  <si>
    <t xml:space="preserve">PU3090 Punch Unit EU 2/4 Hole Punch for SR4150 or SR4160 Finisher </t>
  </si>
  <si>
    <t>418333</t>
  </si>
  <si>
    <t>Punch Unit PU3110 EU 2/4 Hole Punch for SR3350 Finisher or SR3340 Finisher</t>
  </si>
  <si>
    <t>419440</t>
  </si>
  <si>
    <t>PU3080 Punch Unit EU 2/4 Hole requires SR3330 Finisher or SR3320 Finisher</t>
  </si>
  <si>
    <t>418382</t>
  </si>
  <si>
    <t xml:space="preserve">PU3100 Punch Unit EU 2/4 Hole requires SR3310 Finisher </t>
  </si>
  <si>
    <t>419405</t>
  </si>
  <si>
    <t xml:space="preserve">SR4140 Finisher 3000 Sheet  Staples 100 Sheets - 
</t>
  </si>
  <si>
    <t>418183</t>
  </si>
  <si>
    <t>SR4160 Booklet Finisher 2000 Sheet Staples 65 Sheets</t>
  </si>
  <si>
    <t>418180</t>
  </si>
  <si>
    <t>SR4150 Finisher 3000 Sheet Staples 65 Sheets</t>
  </si>
  <si>
    <t>418178</t>
  </si>
  <si>
    <t xml:space="preserve">SR3340 Finisher 3000 Sheet,  includes bridge unit
</t>
  </si>
  <si>
    <t>419392</t>
  </si>
  <si>
    <t xml:space="preserve"> SR3350 Stapler Finisher Booklet - 3000 Sheet Output Tray, includes bridge unit
</t>
  </si>
  <si>
    <t>419390</t>
  </si>
  <si>
    <t xml:space="preserve">SR3220 Hybrid Finisher - 1000 Sheet Output Tray, includes bridge unit
</t>
  </si>
  <si>
    <t>419399</t>
  </si>
  <si>
    <t xml:space="preserve">SR3360 Stapleless Internal Finisher - 250 Sheet Output 
</t>
  </si>
  <si>
    <t>419407</t>
  </si>
  <si>
    <t xml:space="preserve">SR3310 Internal Finisher -500 Sheet Output Tray
</t>
  </si>
  <si>
    <t>419401</t>
  </si>
  <si>
    <t xml:space="preserve">SR3330 Stapler Finisher  -1000 Sheet Booklet Finisher, includes bridge unit 
</t>
  </si>
  <si>
    <t>419397</t>
  </si>
  <si>
    <t xml:space="preserve">NO </t>
  </si>
  <si>
    <t>Genuine Adobe Postscript 3 M42</t>
  </si>
  <si>
    <t>418194</t>
  </si>
  <si>
    <t>Genuine Adobe Postscript 3 M41</t>
  </si>
  <si>
    <t>418581</t>
  </si>
  <si>
    <t>Genuine Adobe Postscript 3 M52</t>
  </si>
  <si>
    <t>419416</t>
  </si>
  <si>
    <t>LCIT RT4060 - 1 x 4400 Sheet Side Paper Tray</t>
  </si>
  <si>
    <t>418191</t>
  </si>
  <si>
    <t>PB3330 LCIT Tandem Tray - 2 x 1000 Sheet Trays 
(Cannot be installed with PB3320)</t>
  </si>
  <si>
    <t>419376</t>
  </si>
  <si>
    <t>RT3050 LCIT  - 1500 Sheet Side Tray (Requires PB3320-419365 or PB3300-419376)</t>
  </si>
  <si>
    <t>419380</t>
  </si>
  <si>
    <t xml:space="preserve">Paper Feed Unit PB1170 -1 X 550
</t>
  </si>
  <si>
    <t>418583</t>
  </si>
  <si>
    <t>PB3320 Paper Feed Unit [2 x 550]</t>
  </si>
  <si>
    <t>419365</t>
  </si>
  <si>
    <t>419371</t>
  </si>
  <si>
    <t>Fax option Type M44</t>
  </si>
  <si>
    <t>418807</t>
  </si>
  <si>
    <t>Fax option Type M45</t>
  </si>
  <si>
    <t>418873</t>
  </si>
  <si>
    <t>Genuine Adobe Postscript 3 Type M44</t>
  </si>
  <si>
    <t>418796</t>
  </si>
  <si>
    <t>Genuine Adobe Postscript 3 Type M45</t>
  </si>
  <si>
    <t>418889</t>
  </si>
  <si>
    <t>RT4080 LCIT 1 x 4000 Sheet Large Capacity Tray</t>
  </si>
  <si>
    <t>418791</t>
  </si>
  <si>
    <t>PB1160 1 x 500 Sheet Paper Tray</t>
  </si>
  <si>
    <t>418475</t>
  </si>
  <si>
    <t>PB1090 1 x 500 Sheet Paper Tray</t>
  </si>
  <si>
    <t>417438</t>
  </si>
  <si>
    <t>PB1130 1 x 250 Sheet Paper Tray</t>
  </si>
  <si>
    <t>408207</t>
  </si>
  <si>
    <t>LCIT RT3040 1500 Sheet Large Capacity Tray. Requires PB3300 or PB3290</t>
  </si>
  <si>
    <t>418411</t>
  </si>
  <si>
    <t>LCIT PB3290 2 x 1000 Sheet Paper Tray.</t>
  </si>
  <si>
    <t>418412</t>
  </si>
  <si>
    <t>PB3300 2 x 550 Sheet Paper Trays</t>
  </si>
  <si>
    <t>418352</t>
  </si>
  <si>
    <t xml:space="preserve">PU5050 Punch Unit EU 2/4 Hole Punch for SR4140 Finisher </t>
  </si>
  <si>
    <t xml:space="preserve">PU3070 Punch Unit EU 2/4 Hole Punch  for SR3250 Finisher </t>
  </si>
  <si>
    <t>418328</t>
  </si>
  <si>
    <t xml:space="preserve">PU3080 Punch Unit EU 2/4 Hole Punch  for SR3270 or SR3260 Finisher </t>
  </si>
  <si>
    <t>PU3090 Punch Unit EU 2/4 Hole requires SR3290 or SR3280 or SR4160 or SR4150 Finisher</t>
  </si>
  <si>
    <t xml:space="preserve">SR3280 3000 Sheet Finisher,includes bridge unit
</t>
  </si>
  <si>
    <t>418385</t>
  </si>
  <si>
    <t xml:space="preserve">SR4140 3000 Sheet Finisher 100 sheet staple
</t>
  </si>
  <si>
    <t xml:space="preserve">SR4160 3000 Sheet Booklet Finisher 65 sheet staple
</t>
  </si>
  <si>
    <t xml:space="preserve">SR4150 3000 Sheet Finisher 65 Sheet Staple
</t>
  </si>
  <si>
    <t xml:space="preserve">SR3290 2000 Sheet Booklet Finisher, includes bridge unit
</t>
  </si>
  <si>
    <t>418330</t>
  </si>
  <si>
    <t xml:space="preserve">SR3250 Internal Finisher 500 Sheet 
</t>
  </si>
  <si>
    <t>418378</t>
  </si>
  <si>
    <t xml:space="preserve">SR3300 Stapleless Internal Finisher - 250 Sheet Output Tray 
</t>
  </si>
  <si>
    <t>418341</t>
  </si>
  <si>
    <t>SR3260 Hybrid Finisher - 1000 Sheet Output Tray, includes bridge unit</t>
  </si>
  <si>
    <t>418337</t>
  </si>
  <si>
    <t xml:space="preserve">SR3270 Stapler Booklet Finisher - 1000 Sheet Output Tray, includes  bridge unit
</t>
  </si>
  <si>
    <t>418335</t>
  </si>
  <si>
    <t>408300</t>
  </si>
  <si>
    <t>PB1150 Paper Feed Unit</t>
  </si>
  <si>
    <r>
      <t xml:space="preserve">LCIT PB3260 2 x 1000 Paper Tray. </t>
    </r>
    <r>
      <rPr>
        <sz val="10"/>
        <color rgb="FFFF0000"/>
        <rFont val="Arial"/>
        <family val="2"/>
      </rPr>
      <t>Can not install with PB3240.</t>
    </r>
  </si>
  <si>
    <r>
      <rPr>
        <sz val="10"/>
        <rFont val="Arial"/>
        <family val="2"/>
      </rPr>
      <t>LCIT RT3030 1 x 1500 Sheet Large Capacity Tray.</t>
    </r>
    <r>
      <rPr>
        <sz val="10"/>
        <color rgb="FFFF0000"/>
        <rFont val="Arial"/>
        <family val="2"/>
      </rPr>
      <t xml:space="preserve"> Requires either PB3260 or PB3240</t>
    </r>
  </si>
  <si>
    <r>
      <t xml:space="preserve">PB3240 2 x 550 Sheet Paper Trays. </t>
    </r>
    <r>
      <rPr>
        <sz val="10"/>
        <color rgb="FFFF0000"/>
        <rFont val="Arial"/>
        <family val="2"/>
      </rPr>
      <t>Can not install with PB3260</t>
    </r>
  </si>
  <si>
    <t>408309</t>
  </si>
  <si>
    <t>Genuine Adobe Postscript 3 Type P17</t>
  </si>
  <si>
    <t>Genuine Adobe Postscript 3 Type P11</t>
  </si>
  <si>
    <t>408384</t>
  </si>
  <si>
    <t>320GB Hard Disk DriveType P17</t>
  </si>
  <si>
    <t>408386</t>
  </si>
  <si>
    <t>320Gb Hard Disk Drive Type P11</t>
  </si>
  <si>
    <t>SR3210 Hybrid Finisher - 1000 Sheet Output Tray, includes bridge unit</t>
  </si>
  <si>
    <t>SR3220  Booklet Finisher - 1000 Sheet Output Tray, includes  bridge unit</t>
  </si>
  <si>
    <t>SR3230 3000 Sheet Finisher 50 sheet staple, includes bridge unit</t>
  </si>
  <si>
    <t xml:space="preserve">PU3050 Punch Unit EU 2/4 Hole Punch for SR3210 or SR3220 Finisher </t>
  </si>
  <si>
    <t xml:space="preserve">PU3060 Punch Unit EU 2/4 Hole Punch for SR3230 Finisher </t>
  </si>
  <si>
    <t>408287</t>
  </si>
  <si>
    <t>418080</t>
  </si>
  <si>
    <t>PB1110 1 x 250 Sheet Paper Tray</t>
  </si>
  <si>
    <t>418081</t>
  </si>
  <si>
    <t>PB1120 1 x 500 Sheet Paper Tray</t>
  </si>
  <si>
    <t>418438</t>
  </si>
  <si>
    <t>250GB Hard Disk Drive Type P18</t>
  </si>
  <si>
    <t>418912</t>
  </si>
  <si>
    <t>320GB Hard Disk Drive Type P8</t>
  </si>
  <si>
    <t>418441</t>
  </si>
  <si>
    <t>Genuine Adobe Postscript 3 Type P18</t>
  </si>
  <si>
    <t>418538</t>
  </si>
  <si>
    <t>Genuine Adobe Postscript 3 Type P19</t>
  </si>
  <si>
    <t>1102YK3AU0</t>
  </si>
  <si>
    <t>ECOSYS MA3500cix</t>
  </si>
  <si>
    <t>1102YJ3AU0</t>
  </si>
  <si>
    <t>1102Z03AU0</t>
  </si>
  <si>
    <t>1102ZT3AU0</t>
  </si>
  <si>
    <t>MZ3200i</t>
  </si>
  <si>
    <t>1T02ZT0AU0</t>
  </si>
  <si>
    <t>TK-7139 - 20,000</t>
  </si>
  <si>
    <t>1102ZS3AU0</t>
  </si>
  <si>
    <t>MZ4000i</t>
  </si>
  <si>
    <t>1T02ZZS0AU0</t>
  </si>
  <si>
    <t>TK-7239 - 35,000</t>
  </si>
  <si>
    <t>EC104655</t>
  </si>
  <si>
    <t>EC104654</t>
  </si>
  <si>
    <t>MFD-BW_FBI_E_1</t>
  </si>
  <si>
    <t>AP2560</t>
  </si>
  <si>
    <t>ApeosPort 2560</t>
  </si>
  <si>
    <t>MFD-BW_FBI_L_1</t>
  </si>
  <si>
    <t>AP3060</t>
  </si>
  <si>
    <t>ApeosPort 3060</t>
  </si>
  <si>
    <t>MFD-BW_FBI_L_2</t>
  </si>
  <si>
    <t>AP3560</t>
  </si>
  <si>
    <t>MFD-BW_FBI_M_1</t>
  </si>
  <si>
    <t>DPM385z</t>
  </si>
  <si>
    <t>DocuPrint M385z</t>
  </si>
  <si>
    <t>MFD-BW_FBI_M_2</t>
  </si>
  <si>
    <t>AP4570</t>
  </si>
  <si>
    <t>ApeosPort 4570</t>
  </si>
  <si>
    <t>MFD-BW_FBI_M_3</t>
  </si>
  <si>
    <t>AP5570</t>
  </si>
  <si>
    <t>ApeosPort 5570</t>
  </si>
  <si>
    <t>MFD-BW_FBI_H_1</t>
  </si>
  <si>
    <t>AP5B6080-A</t>
  </si>
  <si>
    <t>ApeosPort-V 6080</t>
  </si>
  <si>
    <t>MFD-BW_FBI_H_2</t>
  </si>
  <si>
    <t>AP5B7080-A</t>
  </si>
  <si>
    <t>ApeosPort-V 7080</t>
  </si>
  <si>
    <t>MFD-BW_FBI_H_3</t>
  </si>
  <si>
    <t>B9125</t>
  </si>
  <si>
    <t>CT203035</t>
  </si>
  <si>
    <t>Yield 71,500 Prints</t>
  </si>
  <si>
    <t>850,000 Prints</t>
  </si>
  <si>
    <t>Waste Toner Bottle CWAA0663 - 250,000 Prints</t>
  </si>
  <si>
    <t xml:space="preserve">
A6 - A3S (Max. 297mm x 432mm)</t>
  </si>
  <si>
    <t>3.9 seconds</t>
  </si>
  <si>
    <t>5 Minutes or Less</t>
  </si>
  <si>
    <t>Recommended Monthly Maximum Average 600,000</t>
  </si>
  <si>
    <t>Rated Engine Life is 36,000,000</t>
  </si>
  <si>
    <t>40.1 to 65.1 dB</t>
  </si>
  <si>
    <t>1,200 x 1,200 dpi, 2,400 x 2,400 dpi</t>
  </si>
  <si>
    <t>A6 (min. 100 x 148mm) to max A3 (max. 330.2mm x 660.4mm Banner)</t>
  </si>
  <si>
    <t>52 - 350 gsm</t>
  </si>
  <si>
    <t>4,050 Sheets</t>
  </si>
  <si>
    <t>8,050 Sheets</t>
  </si>
  <si>
    <t>250 Sheets</t>
  </si>
  <si>
    <t xml:space="preserve">Sleep Mode = 1.1W
Stand-By = 340W
Running = 2.3 Kw
Max. = 3.6kW </t>
  </si>
  <si>
    <t xml:space="preserve">4GB + 160GB HDD </t>
  </si>
  <si>
    <t xml:space="preserve">Ethernet 1000BASE-T/100BASE-TX, 10BASE-Tx1, USB2.0 x 1 </t>
  </si>
  <si>
    <t>▪ TCP/IP (LPD/FTP): LPD print supports restriction when receiving data. ▪ AppleTalk (Phase2): provide printing services via PAP, AppleShare using AFP (Hot folder feature) ▪ SMB (Windows network file sharing): shares the printer to client PC from GX Print Server ▪ IPP (IPP v1.0): compatible to printing and administrative features using IPP version 1.0 ▪ HTTP: WebManager supports printing via web browser. Also supports prints using DropUtility and GUI client. 
 ▪ Bonjour</t>
  </si>
  <si>
    <t>Windows Client Specifications When using DropUtility, make sure that Microsoft .NET Framework 4 or later has been installed on the Windows client. For Print Station, printer drivers or PDF printer driver use Microsoft .NET Framework 4 or Microsoft .NET Framework 4 Client Profile or later. 
• On Windows 10, Windows 8 and Windows 8.1, Microsoft .NET Framework 4.5 has already been installed. • To install Microsoft .NET Framework 4 Client Profile, download Print Station and then double-click the application file (.exe) in the unpacked folder "DotNetFX40Client". You can also download it from the Microsoft website. • “Microsoft .NET Framework 4.5” can be installed by downloading Print Driver Plug-in or PDF Print Driver Plug-in containing a folder with “Install.bat”. Double click this file to install. (If “Microsoft .NET Framework 4” or later is already installed, the installation will NOt take place) • Some of the job settings are retrieved from the Print Server. Therefore, the Print Server will need to be powered up to be able to communicate with the printer driver. • Communication between the printer driver and Print Server is done through port number 8888. If the firewall blocks port number 8888, change the firewall settings to allow the port number. Mac Client Specifications 
Communication with GX Print Server • Some of the job settings are retrieved from the Print Server. Therefore, the Print Server will need to be powered up to be able to communicate with the printer driver. • Communication between the printer driver and Print Server is done through port number 8888. If the firewall blocks port number 8888, change the firewall settings to allow the port number. • Resources installed in Print Server can be retrieved by using Printer Utility. Follow the steps below to download resources from GX Print Server before starting the application. 1. Start [System Preferences], click [Printers &amp; Scanners] and select the registered printer. 2. Click [Options &amp; Supplies] and click [Open Printer Utility] in the [Utility] tab. 3. Click the [Retrieve] button once Printer Utility has started. • If communication with print server is done using IPv6, use Mac OS X 10.8 or later.</t>
  </si>
  <si>
    <t xml:space="preserve">PCL6, PCL5 (Standard) Adobe PostScript® 3TM   
</t>
  </si>
  <si>
    <t>MFD-Colour_FBI_E_1</t>
  </si>
  <si>
    <t>MFD-Colour_FBI_E_2</t>
  </si>
  <si>
    <t>ApeosPort C2060</t>
  </si>
  <si>
    <t>MFD-Colour_FBI_L_1</t>
  </si>
  <si>
    <t>AP7C3321</t>
  </si>
  <si>
    <t>ApeosPort-VII C3321</t>
  </si>
  <si>
    <t>MFD-Colour_FBI_L_2</t>
  </si>
  <si>
    <t>MFD-Colour_FBI_L_3</t>
  </si>
  <si>
    <t>MFD-Colour_FBI_L_4</t>
  </si>
  <si>
    <t>MFD-Colour_FBI_M_1</t>
  </si>
  <si>
    <t>AP7C4421</t>
  </si>
  <si>
    <t>ApeosPort-VII C4421</t>
  </si>
  <si>
    <t>MFD-Colour_FBI_M_2</t>
  </si>
  <si>
    <t>MFD-Colour_FBI_M_3</t>
  </si>
  <si>
    <t>Apeos C4570</t>
  </si>
  <si>
    <t>MFD-Colour_FBI_M_4</t>
  </si>
  <si>
    <t>Apeos C5570</t>
  </si>
  <si>
    <t>MFD-Colour_FBI_H_1</t>
  </si>
  <si>
    <t>AC6570-T</t>
  </si>
  <si>
    <t>Apeos C6570</t>
  </si>
  <si>
    <t>MFD-Colour_FBI_H_2</t>
  </si>
  <si>
    <t>AC7070-T</t>
  </si>
  <si>
    <t>MFD-Colour_FBI_H_3</t>
  </si>
  <si>
    <t>MFD-Colour_FBI_H_4</t>
  </si>
  <si>
    <t>QC100229</t>
  </si>
  <si>
    <t>Finisher C5 with Booklet Maker and 2/4 Hole Punch - includes transport unit QC100233</t>
  </si>
  <si>
    <t>QC100206</t>
  </si>
  <si>
    <t>Finisher - External B5 (Cannot equip with any other finisher)</t>
  </si>
  <si>
    <t>QC100211</t>
  </si>
  <si>
    <t>C5 Finisher (multi position staple) Including Booklet Maker and 2/4 hole punch (cannot equip with any other finisher) - requires Transport Unit H3 (Incl in price)</t>
  </si>
  <si>
    <t>QD200140</t>
  </si>
  <si>
    <t>D6 Finisher (multi position staple, cannot equip with any other finisher) - requires Transport Unit V1 (Incl in price)</t>
  </si>
  <si>
    <t>QD200141</t>
  </si>
  <si>
    <t>D6 Finisher (multi position staple, cannot equip with any other finisher) - including booklet maker</t>
  </si>
  <si>
    <t>QC100206/EC104195</t>
  </si>
  <si>
    <t>Finisher B5 + Hole Punch</t>
  </si>
  <si>
    <t>QC100206/EC104195/EC104194</t>
  </si>
  <si>
    <t>Finisher B5, Hole Punch Unit &amp; Book Fold</t>
  </si>
  <si>
    <t>Illegal Copy Prevention Feature / secure watermark kit</t>
  </si>
  <si>
    <t>EC104356</t>
  </si>
  <si>
    <t>EC104186</t>
  </si>
  <si>
    <t>EC104926</t>
  </si>
  <si>
    <t>EC104358</t>
  </si>
  <si>
    <t>EC104352</t>
  </si>
  <si>
    <t>EC103209</t>
  </si>
  <si>
    <t>EC104218</t>
  </si>
  <si>
    <t>EC104526</t>
  </si>
  <si>
    <t>C5 Finisher with Book Maker and 2/4 hole punch</t>
  </si>
  <si>
    <t>QC100229B</t>
  </si>
  <si>
    <t xml:space="preserve">Finisher C5 with Booklet Maker and 2/4 Hole Punch includes EM100634 install kit and QM100040 Transport unit
</t>
  </si>
  <si>
    <t>EM100561</t>
  </si>
  <si>
    <t>EC104196</t>
  </si>
  <si>
    <t>Ecosys PA3500cx</t>
  </si>
  <si>
    <t>1T02YJ0AU0, 1T02YJAAU0, 1T02YJBAU0, 1T02YJCAU0</t>
  </si>
  <si>
    <t>TK-5274 (K - 7K, Y, M, C - 5K each)</t>
  </si>
  <si>
    <t>MK-5370 200,000 pages</t>
  </si>
  <si>
    <t>Ecosys PA4000cx</t>
  </si>
  <si>
    <t>1T02Z00AU0, 1T02Z0CAU0, 1T02Z0BAU0, 1T02Z0AAU0</t>
  </si>
  <si>
    <t>TK-5384 (K 13,000 pages, C, M, Y 10,000 pages ea)</t>
  </si>
  <si>
    <t>MK-5380 200,000 pges</t>
  </si>
  <si>
    <t>PF-471  2 x 500 Sheet Paper Feeder including caster wheels</t>
  </si>
  <si>
    <t>PF-7140 2 X 500 Sheet Paper Feeder including caster wheels</t>
  </si>
  <si>
    <t>PF-7150 2 X 1500 Sheet A4 Only paper Feeder including caster wheels</t>
  </si>
  <si>
    <t>DF-7120 1000 Sheet Document Finisher (requires AK-7110) (A3 TASKalfa MFD's)</t>
  </si>
  <si>
    <t>DF-7110 4000 Sheet Document Finisher (requires AK-7110) (A3 TASKalfa MFD's)</t>
  </si>
  <si>
    <t>DF-7140 4000 Sheet Document Finisher with 65 sheet stapling (requires AK-7110) (A3 TASKalfa range)</t>
  </si>
  <si>
    <t>1703SZ0UN0</t>
  </si>
  <si>
    <t>DP-7150 140 Sheet RADF Document Processor Scanning @ 80ipm (Inc with Base Unit)</t>
  </si>
  <si>
    <t>DP-7140 50 Sheet RADF Document Processor Scanning @ 40ipm</t>
  </si>
  <si>
    <t>DP-7160 320 Sheet Dual Head Document Processor Scanning @ 137ipm</t>
  </si>
  <si>
    <t>DP-7170 320 Sheet Dual Head Document Processor Scanning @ 137ipm with staple detection</t>
  </si>
  <si>
    <t>1203SK5AS0</t>
  </si>
  <si>
    <t>DP-5120 100 Sheet Dual Head Document Processor</t>
  </si>
  <si>
    <t>1203T5AS0</t>
  </si>
  <si>
    <t>DP-5130 100 Sheet Dual Head Document Processor with DF Detect</t>
  </si>
  <si>
    <t>1290/30 Console (Cabinet) for 2 tray configuration (TASKalfa range)</t>
  </si>
  <si>
    <t>822LD08807</t>
  </si>
  <si>
    <t>1244/10 Cabinet for TASKalfa MA3500ci</t>
  </si>
  <si>
    <t>1278 Console (Cabinet) for 2 tray Configuration for Taskalfa 358ci and 408ci</t>
  </si>
  <si>
    <t>1279 Console (Cabinet) for 1 tray Configuration for Taskalfa 358ci and 408ci</t>
  </si>
  <si>
    <t>1503T80UN0</t>
  </si>
  <si>
    <t>IB-37 Wireless LAN Network Card</t>
  </si>
  <si>
    <t>1102XC3AU</t>
  </si>
  <si>
    <t>TASKalfa 7054ci</t>
  </si>
  <si>
    <t>PF-791  2 x 500 Sheet Paper Feeder (TA 3212 &amp; 4012I)</t>
  </si>
  <si>
    <t>1203V00KL0</t>
  </si>
  <si>
    <t>PF-5150 500 Sheet Paper Feeder</t>
  </si>
  <si>
    <t>1244/10 Cabinet Console</t>
  </si>
  <si>
    <t>822LW08691</t>
  </si>
  <si>
    <t>ECO-080 Onsite Warranty Upgrade</t>
  </si>
  <si>
    <t>822LW08692</t>
  </si>
  <si>
    <t>ECO-081 1 Year Extended Warranty Onsite</t>
  </si>
  <si>
    <t>TBC</t>
  </si>
  <si>
    <t>Version: 1.3</t>
  </si>
  <si>
    <t>FujiFilm and Kyocera</t>
  </si>
  <si>
    <t>Product Catalogue List Update</t>
  </si>
  <si>
    <t>Brendan</t>
  </si>
  <si>
    <t>New Product Models, Corrections to specs and pricing</t>
  </si>
  <si>
    <t>1102RV3AU0</t>
  </si>
  <si>
    <t>Ecosys P2235dn</t>
  </si>
  <si>
    <t>C3321i-WA</t>
  </si>
  <si>
    <t>bizhub C3321i</t>
  </si>
  <si>
    <t>C3351i-WA</t>
  </si>
  <si>
    <t>bizhub C3351i</t>
  </si>
  <si>
    <t>bizhub C4051i</t>
  </si>
  <si>
    <t>AAJW192</t>
  </si>
  <si>
    <t>SK-501: Staple Kit. 5 cartridges of 1,000 staples</t>
  </si>
  <si>
    <t>AAJW190</t>
  </si>
  <si>
    <t>C4051i-WA</t>
  </si>
  <si>
    <t>4051iB</t>
  </si>
  <si>
    <t>bizhub 4051i</t>
  </si>
  <si>
    <t>ACTD090</t>
  </si>
  <si>
    <t>C3301ib</t>
  </si>
  <si>
    <t>bizhub C3301i</t>
  </si>
  <si>
    <t>C4001ib</t>
  </si>
  <si>
    <t>bizhub C4001i</t>
  </si>
  <si>
    <t>AAJUWY4</t>
  </si>
  <si>
    <t>PF-P27: Paper Feed Unit (A4 x 500)</t>
  </si>
  <si>
    <t>DK-P04: Copier Desk</t>
  </si>
  <si>
    <t>ACCRWY1</t>
  </si>
  <si>
    <t>WT-P03: Working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</si>
</sst>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8" formatCode="&quot;$&quot;#,##0.00;[Red]\-&quot;$&quot;#,##0.00"/>
    <numFmt numFmtId="44" formatCode="_-&quot;$&quot;* #,##0.00_-;\-&quot;$&quot;* #,##0.00_-;_-&quot;$&quot;* &quot;-&quot;??_-;_-@_-"/>
    <numFmt numFmtId="43" formatCode="_-* #,##0.00_-;\-* #,##0.00_-;_-* &quot;-&quot;??_-;_-@_-"/>
    <numFmt numFmtId="164" formatCode="&quot;$&quot;#,##0.0000"/>
    <numFmt numFmtId="165" formatCode="&quot;$&quot;#,##0.00"/>
    <numFmt numFmtId="166" formatCode="0.0%"/>
    <numFmt numFmtId="167" formatCode="#,##0_ ;\-#,##0\ "/>
    <numFmt numFmtId="168" formatCode="&quot;$&quot;#,##0"/>
    <numFmt numFmtId="169" formatCode="[$-C09]d\ mmmm\ yyyy;@"/>
    <numFmt numFmtId="170" formatCode="&quot;$&quot;#,##0.0000;[Red]\-&quot;$&quot;#,##0.0000"/>
  </numFmts>
  <fonts count="39" x14ac:knownFonts="1">
    <font>
      <sz val="10"/>
      <name val="Arial"/>
    </font>
    <font>
      <sz val="11"/>
      <color theme="1"/>
      <name val="Calibri"/>
      <family val="2"/>
      <scheme val="minor"/>
    </font>
    <font>
      <sz val="11"/>
      <color theme="1"/>
      <name val="Calibri"/>
      <family val="2"/>
      <scheme val="minor"/>
    </font>
    <font>
      <sz val="11"/>
      <color theme="1"/>
      <name val="Arial"/>
      <family val="2"/>
    </font>
    <font>
      <sz val="10"/>
      <name val="Arial"/>
      <family val="2"/>
    </font>
    <font>
      <b/>
      <sz val="10"/>
      <name val="Arial"/>
      <family val="2"/>
    </font>
    <font>
      <sz val="9"/>
      <name val="Arial"/>
      <family val="2"/>
    </font>
    <font>
      <b/>
      <sz val="9"/>
      <name val="Arial"/>
      <family val="2"/>
    </font>
    <font>
      <sz val="10"/>
      <name val="Arial"/>
      <family val="2"/>
    </font>
    <font>
      <sz val="12"/>
      <name val="Arial"/>
      <family val="2"/>
    </font>
    <font>
      <b/>
      <sz val="11"/>
      <name val="Arial"/>
      <family val="2"/>
    </font>
    <font>
      <sz val="10"/>
      <color rgb="FFFF0000"/>
      <name val="Arial"/>
      <family val="2"/>
    </font>
    <font>
      <sz val="11"/>
      <name val="Arial"/>
      <family val="2"/>
    </font>
    <font>
      <b/>
      <sz val="11"/>
      <color theme="0"/>
      <name val="Arial"/>
      <family val="2"/>
    </font>
    <font>
      <sz val="9"/>
      <color indexed="81"/>
      <name val="Tahoma"/>
      <family val="2"/>
    </font>
    <font>
      <b/>
      <sz val="12"/>
      <color theme="0"/>
      <name val="Arial"/>
      <family val="2"/>
    </font>
    <font>
      <sz val="10"/>
      <color theme="0"/>
      <name val="Arial"/>
      <family val="2"/>
    </font>
    <font>
      <sz val="12"/>
      <color theme="0"/>
      <name val="Arial"/>
      <family val="2"/>
    </font>
    <font>
      <b/>
      <sz val="14"/>
      <color theme="0"/>
      <name val="Arial"/>
      <family val="2"/>
    </font>
    <font>
      <b/>
      <sz val="10"/>
      <color rgb="FFFF0000"/>
      <name val="Arial"/>
      <family val="2"/>
    </font>
    <font>
      <sz val="14"/>
      <name val="Arial"/>
      <family val="2"/>
    </font>
    <font>
      <sz val="10"/>
      <color theme="1"/>
      <name val="Arial"/>
      <family val="2"/>
    </font>
    <font>
      <b/>
      <sz val="11"/>
      <color rgb="FFFF0000"/>
      <name val="Arial"/>
      <family val="2"/>
    </font>
    <font>
      <b/>
      <sz val="9"/>
      <color indexed="81"/>
      <name val="Tahoma"/>
      <family val="2"/>
    </font>
    <font>
      <sz val="10"/>
      <color indexed="81"/>
      <name val="Arial"/>
      <family val="2"/>
    </font>
    <font>
      <b/>
      <sz val="10"/>
      <color theme="1"/>
      <name val="Arial"/>
      <family val="2"/>
    </font>
    <font>
      <sz val="10"/>
      <name val="Arial"/>
      <family val="2"/>
    </font>
    <font>
      <i/>
      <sz val="11"/>
      <name val="Arial"/>
      <family val="2"/>
    </font>
    <font>
      <b/>
      <i/>
      <sz val="11"/>
      <name val="Arial"/>
      <family val="2"/>
    </font>
    <font>
      <b/>
      <sz val="10"/>
      <color theme="0"/>
      <name val="Arial"/>
      <family val="2"/>
    </font>
    <font>
      <sz val="10"/>
      <color theme="9" tint="-0.249977111117893"/>
      <name val="Arial"/>
      <family val="2"/>
    </font>
    <font>
      <u/>
      <sz val="10"/>
      <color theme="10"/>
      <name val="Arial"/>
      <family val="2"/>
    </font>
    <font>
      <sz val="10"/>
      <name val="Arial"/>
      <family val="2"/>
    </font>
    <font>
      <u/>
      <sz val="10"/>
      <color theme="10"/>
      <name val="Arial"/>
      <family val="2"/>
    </font>
    <font>
      <sz val="9"/>
      <color indexed="81"/>
      <name val="Arial"/>
      <family val="2"/>
    </font>
    <font>
      <sz val="10"/>
      <color theme="1" tint="0.499984740745262"/>
      <name val="Arial"/>
      <family val="2"/>
    </font>
    <font>
      <sz val="9"/>
      <color theme="1"/>
      <name val="Arial"/>
      <family val="2"/>
    </font>
    <font>
      <sz val="10"/>
      <color rgb="FF7DA063"/>
      <name val="Arial"/>
      <family val="2"/>
    </font>
    <font>
      <sz val="8"/>
      <name val="Arial"/>
    </font>
  </fonts>
  <fills count="2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rgb="FF360B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FE5A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DCE1DF"/>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490F59"/>
        <bgColor indexed="64"/>
      </patternFill>
    </fill>
    <fill>
      <patternFill patternType="solid">
        <fgColor rgb="FFBECA5F"/>
        <bgColor indexed="64"/>
      </patternFill>
    </fill>
    <fill>
      <patternFill patternType="solid">
        <fgColor rgb="FFF6F8E8"/>
        <bgColor indexed="64"/>
      </patternFill>
    </fill>
    <fill>
      <patternFill patternType="solid">
        <fgColor theme="5"/>
        <bgColor indexed="64"/>
      </patternFill>
    </fill>
    <fill>
      <patternFill patternType="gray125">
        <bgColor theme="0" tint="-0.24994659260841701"/>
      </patternFill>
    </fill>
    <fill>
      <patternFill patternType="solid">
        <fgColor rgb="FF7DA063"/>
        <bgColor indexed="64"/>
      </patternFill>
    </fill>
    <fill>
      <patternFill patternType="solid">
        <fgColor rgb="FF8C528E"/>
        <bgColor indexed="64"/>
      </patternFill>
    </fill>
    <fill>
      <patternFill patternType="solid">
        <fgColor rgb="FF531165"/>
        <bgColor indexed="64"/>
      </patternFill>
    </fill>
    <fill>
      <patternFill patternType="solid">
        <fgColor rgb="FFFFFF00"/>
        <bgColor indexed="64"/>
      </patternFill>
    </fill>
    <fill>
      <patternFill patternType="solid">
        <fgColor theme="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op>
      <bottom style="thin">
        <color theme="0" tint="-4.9989318521683403E-2"/>
      </bottom>
      <diagonal/>
    </border>
    <border>
      <left/>
      <right/>
      <top style="thin">
        <color theme="0"/>
      </top>
      <bottom style="thin">
        <color theme="0" tint="-4.9989318521683403E-2"/>
      </bottom>
      <diagonal/>
    </border>
    <border>
      <left/>
      <right style="thin">
        <color theme="0" tint="-4.9989318521683403E-2"/>
      </right>
      <top style="thin">
        <color theme="0"/>
      </top>
      <bottom style="thin">
        <color theme="0" tint="-4.9989318521683403E-2"/>
      </bottom>
      <diagonal/>
    </border>
    <border>
      <left style="thin">
        <color theme="0"/>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tint="-4.9989318521683403E-2"/>
      </bottom>
      <diagonal/>
    </border>
    <border>
      <left style="thin">
        <color indexed="64"/>
      </left>
      <right/>
      <top style="thin">
        <color theme="0"/>
      </top>
      <bottom style="thin">
        <color indexed="64"/>
      </bottom>
      <diagonal/>
    </border>
    <border>
      <left style="thin">
        <color theme="0"/>
      </left>
      <right style="thin">
        <color theme="0"/>
      </right>
      <top/>
      <bottom/>
      <diagonal/>
    </border>
    <border>
      <left/>
      <right style="thin">
        <color theme="0"/>
      </right>
      <top style="thin">
        <color theme="0"/>
      </top>
      <bottom/>
      <diagonal/>
    </border>
    <border>
      <left style="thin">
        <color theme="0" tint="-4.9989318521683403E-2"/>
      </left>
      <right style="thin">
        <color theme="0" tint="-4.9989318521683403E-2"/>
      </right>
      <top style="thin">
        <color theme="0" tint="-4.9989318521683403E-2"/>
      </top>
      <bottom/>
      <diagonal/>
    </border>
    <border>
      <left style="thin">
        <color theme="0"/>
      </left>
      <right style="thin">
        <color theme="0"/>
      </right>
      <top style="thin">
        <color theme="0"/>
      </top>
      <bottom style="thin">
        <color theme="0"/>
      </bottom>
      <diagonal/>
    </border>
    <border>
      <left style="thin">
        <color theme="0"/>
      </left>
      <right/>
      <top style="thin">
        <color indexed="64"/>
      </top>
      <bottom style="thin">
        <color theme="0"/>
      </bottom>
      <diagonal/>
    </border>
    <border>
      <left style="thin">
        <color indexed="64"/>
      </left>
      <right style="thin">
        <color indexed="64"/>
      </right>
      <top/>
      <bottom/>
      <diagonal/>
    </border>
    <border>
      <left/>
      <right/>
      <top/>
      <bottom style="thin">
        <color theme="0"/>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theme="0"/>
      </top>
      <bottom/>
      <diagonal/>
    </border>
    <border>
      <left/>
      <right style="thin">
        <color indexed="64"/>
      </right>
      <top style="thin">
        <color theme="0"/>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thin">
        <color indexed="64"/>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xf numFmtId="0" fontId="8" fillId="0" borderId="0"/>
    <xf numFmtId="0" fontId="4" fillId="0" borderId="0"/>
    <xf numFmtId="0" fontId="3" fillId="0" borderId="0"/>
    <xf numFmtId="43" fontId="4" fillId="0" borderId="0" applyFont="0" applyFill="0" applyBorder="0" applyAlignment="0" applyProtection="0"/>
    <xf numFmtId="44" fontId="4" fillId="0" borderId="0" applyFont="0" applyFill="0" applyBorder="0" applyAlignment="0" applyProtection="0"/>
    <xf numFmtId="0" fontId="3" fillId="0" borderId="0"/>
    <xf numFmtId="9" fontId="2" fillId="0" borderId="0" applyFont="0" applyFill="0" applyBorder="0" applyAlignment="0" applyProtection="0"/>
    <xf numFmtId="9" fontId="4" fillId="0" borderId="0" applyFont="0" applyFill="0" applyBorder="0" applyAlignment="0" applyProtection="0"/>
    <xf numFmtId="44" fontId="26" fillId="0" borderId="0" applyFont="0" applyFill="0" applyBorder="0" applyAlignment="0" applyProtection="0"/>
    <xf numFmtId="0" fontId="31" fillId="0" borderId="0" applyNumberFormat="0" applyFill="0" applyBorder="0" applyAlignment="0" applyProtection="0"/>
    <xf numFmtId="43" fontId="3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460">
    <xf numFmtId="0" fontId="0" fillId="0" borderId="0" xfId="0"/>
    <xf numFmtId="0" fontId="0" fillId="5" borderId="0" xfId="0" applyFill="1"/>
    <xf numFmtId="0" fontId="8" fillId="5" borderId="0" xfId="1" applyFill="1"/>
    <xf numFmtId="9" fontId="0" fillId="5" borderId="0" xfId="0" applyNumberFormat="1" applyFill="1"/>
    <xf numFmtId="0" fontId="4" fillId="9" borderId="3" xfId="0" applyFont="1" applyFill="1" applyBorder="1" applyAlignment="1">
      <alignment horizontal="center" vertical="center" wrapText="1"/>
    </xf>
    <xf numFmtId="1" fontId="10" fillId="10" borderId="3" xfId="1"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1" fontId="12" fillId="8" borderId="1" xfId="1" applyNumberFormat="1" applyFont="1" applyFill="1" applyBorder="1" applyAlignment="1">
      <alignment horizontal="center" vertical="center" wrapText="1"/>
    </xf>
    <xf numFmtId="0" fontId="21" fillId="13" borderId="3" xfId="0" applyFont="1" applyFill="1" applyBorder="1" applyAlignment="1">
      <alignment vertical="center" wrapText="1"/>
    </xf>
    <xf numFmtId="0" fontId="15" fillId="7" borderId="26" xfId="1" applyFont="1" applyFill="1" applyBorder="1" applyAlignment="1">
      <alignment horizontal="center" vertical="center" wrapText="1"/>
    </xf>
    <xf numFmtId="0" fontId="11" fillId="5" borderId="0" xfId="0" applyFont="1" applyFill="1"/>
    <xf numFmtId="0" fontId="4" fillId="9" borderId="1" xfId="0" applyFont="1" applyFill="1" applyBorder="1" applyAlignment="1">
      <alignment horizontal="center" vertical="center" wrapText="1"/>
    </xf>
    <xf numFmtId="165" fontId="5" fillId="9"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0" xfId="2"/>
    <xf numFmtId="0" fontId="4" fillId="2" borderId="1" xfId="2" applyFill="1" applyBorder="1" applyAlignment="1" applyProtection="1">
      <alignment horizontal="center" vertical="center" wrapText="1"/>
      <protection locked="0"/>
    </xf>
    <xf numFmtId="0" fontId="4" fillId="0" borderId="0" xfId="2" applyAlignment="1">
      <alignment horizontal="center"/>
    </xf>
    <xf numFmtId="1" fontId="12" fillId="4" borderId="3" xfId="1" applyNumberFormat="1" applyFont="1" applyFill="1" applyBorder="1" applyAlignment="1">
      <alignment horizontal="center" vertical="center" wrapText="1"/>
    </xf>
    <xf numFmtId="1" fontId="10" fillId="4" borderId="3" xfId="1"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1" fontId="12" fillId="2" borderId="1" xfId="1" applyNumberFormat="1" applyFont="1" applyFill="1" applyBorder="1" applyAlignment="1">
      <alignment horizontal="center" vertical="center" wrapText="1"/>
    </xf>
    <xf numFmtId="1" fontId="10" fillId="2" borderId="3" xfId="1" applyNumberFormat="1" applyFont="1" applyFill="1" applyBorder="1" applyAlignment="1">
      <alignment horizontal="center" vertical="center" wrapText="1"/>
    </xf>
    <xf numFmtId="0" fontId="5" fillId="12" borderId="1" xfId="2" applyFont="1" applyFill="1" applyBorder="1" applyAlignment="1">
      <alignment vertical="center"/>
    </xf>
    <xf numFmtId="0" fontId="5" fillId="12" borderId="1" xfId="2" applyFont="1" applyFill="1" applyBorder="1" applyAlignment="1">
      <alignment horizontal="center" vertical="center"/>
    </xf>
    <xf numFmtId="0" fontId="4" fillId="0" borderId="1" xfId="2" applyBorder="1" applyAlignment="1">
      <alignment vertical="center"/>
    </xf>
    <xf numFmtId="0" fontId="4" fillId="2" borderId="1" xfId="2" applyFill="1" applyBorder="1" applyAlignment="1">
      <alignment vertical="center"/>
    </xf>
    <xf numFmtId="0" fontId="4" fillId="2" borderId="1" xfId="2" applyFill="1" applyBorder="1" applyAlignment="1">
      <alignment horizontal="center" vertical="center" wrapText="1"/>
    </xf>
    <xf numFmtId="164" fontId="21" fillId="2" borderId="1" xfId="2" applyNumberFormat="1" applyFont="1" applyFill="1" applyBorder="1" applyAlignment="1">
      <alignment horizontal="center" vertical="center" wrapText="1"/>
    </xf>
    <xf numFmtId="10" fontId="21" fillId="2" borderId="1" xfId="8" applyNumberFormat="1" applyFont="1" applyFill="1" applyBorder="1" applyAlignment="1" applyProtection="1">
      <alignment horizontal="center" vertical="center" wrapText="1"/>
    </xf>
    <xf numFmtId="0" fontId="21" fillId="2" borderId="1" xfId="2"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65" fontId="21" fillId="2" borderId="1" xfId="2" applyNumberFormat="1" applyFont="1" applyFill="1" applyBorder="1" applyAlignment="1">
      <alignment horizontal="center" vertical="center" wrapText="1"/>
    </xf>
    <xf numFmtId="8" fontId="21" fillId="2" borderId="1" xfId="8" applyNumberFormat="1" applyFont="1" applyFill="1" applyBorder="1" applyAlignment="1" applyProtection="1">
      <alignment horizontal="center" vertical="center" wrapText="1"/>
    </xf>
    <xf numFmtId="1" fontId="21" fillId="2" borderId="1" xfId="2" applyNumberFormat="1" applyFont="1" applyFill="1" applyBorder="1" applyAlignment="1">
      <alignment horizontal="center" vertical="center" wrapText="1"/>
    </xf>
    <xf numFmtId="164" fontId="21" fillId="3" borderId="1" xfId="2" applyNumberFormat="1" applyFont="1" applyFill="1" applyBorder="1" applyAlignment="1">
      <alignment horizontal="center" vertical="center" wrapText="1"/>
    </xf>
    <xf numFmtId="0" fontId="4" fillId="3" borderId="0" xfId="2" applyFill="1"/>
    <xf numFmtId="0" fontId="4" fillId="0" borderId="1" xfId="2" applyBorder="1" applyAlignment="1">
      <alignment horizontal="center"/>
    </xf>
    <xf numFmtId="0" fontId="0" fillId="0" borderId="0" xfId="0" applyAlignment="1">
      <alignment horizont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2" borderId="1" xfId="2" applyFont="1" applyFill="1" applyBorder="1" applyAlignment="1" applyProtection="1">
      <alignment horizontal="center" vertical="center" wrapText="1"/>
      <protection locked="0"/>
    </xf>
    <xf numFmtId="0" fontId="6" fillId="3" borderId="1" xfId="2" applyFont="1" applyFill="1" applyBorder="1" applyAlignment="1" applyProtection="1">
      <alignment horizontal="center" vertical="center" wrapText="1"/>
      <protection locked="0"/>
    </xf>
    <xf numFmtId="0" fontId="6" fillId="3" borderId="1" xfId="2" applyFont="1" applyFill="1" applyBorder="1" applyAlignment="1">
      <alignment horizontal="center" vertical="center"/>
    </xf>
    <xf numFmtId="0" fontId="7" fillId="8" borderId="1"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2" applyFont="1" applyBorder="1" applyAlignment="1">
      <alignment horizontal="center" vertical="center"/>
    </xf>
    <xf numFmtId="0" fontId="7" fillId="14" borderId="1" xfId="0" applyFont="1" applyFill="1" applyBorder="1" applyAlignment="1">
      <alignment horizontal="center" vertical="center"/>
    </xf>
    <xf numFmtId="3" fontId="6" fillId="2" borderId="1" xfId="2" applyNumberFormat="1" applyFont="1" applyFill="1" applyBorder="1" applyAlignment="1">
      <alignment horizontal="center" vertical="center" wrapText="1"/>
    </xf>
    <xf numFmtId="0" fontId="6" fillId="2" borderId="0" xfId="2" applyFont="1" applyFill="1" applyAlignment="1">
      <alignment horizontal="center" vertical="center"/>
    </xf>
    <xf numFmtId="0" fontId="7" fillId="14" borderId="1" xfId="0"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horizontal="left"/>
    </xf>
    <xf numFmtId="0" fontId="6" fillId="2" borderId="3" xfId="2" applyFont="1" applyFill="1" applyBorder="1" applyAlignment="1">
      <alignment horizontal="center" vertical="center"/>
    </xf>
    <xf numFmtId="0" fontId="6" fillId="3" borderId="0" xfId="2" applyFont="1" applyFill="1" applyAlignment="1">
      <alignment horizontal="center" vertical="center"/>
    </xf>
    <xf numFmtId="0" fontId="15" fillId="7" borderId="19" xfId="1" applyFont="1" applyFill="1" applyBorder="1" applyAlignment="1">
      <alignment horizontal="center" vertical="center" wrapText="1"/>
    </xf>
    <xf numFmtId="3" fontId="4" fillId="9"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5"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3" fillId="7" borderId="19" xfId="1" applyFont="1" applyFill="1" applyBorder="1" applyAlignment="1">
      <alignment horizontal="center" vertical="center" wrapText="1"/>
    </xf>
    <xf numFmtId="0" fontId="25" fillId="8" borderId="3" xfId="0" applyFont="1" applyFill="1" applyBorder="1" applyAlignment="1">
      <alignment vertical="center" wrapText="1"/>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165" fontId="21" fillId="9" borderId="1" xfId="0" applyNumberFormat="1" applyFont="1" applyFill="1" applyBorder="1" applyAlignment="1">
      <alignment horizontal="center" vertical="center" wrapText="1"/>
    </xf>
    <xf numFmtId="164" fontId="21" fillId="9" borderId="1" xfId="0" applyNumberFormat="1" applyFont="1" applyFill="1" applyBorder="1" applyAlignment="1">
      <alignment horizontal="center" vertical="center" wrapText="1"/>
    </xf>
    <xf numFmtId="0" fontId="4" fillId="9" borderId="4" xfId="0" applyFont="1" applyFill="1" applyBorder="1" applyAlignment="1">
      <alignment horizontal="center" vertical="center" wrapText="1"/>
    </xf>
    <xf numFmtId="0" fontId="13" fillId="7" borderId="26" xfId="1" applyFont="1" applyFill="1" applyBorder="1" applyAlignment="1">
      <alignment horizontal="center" vertical="center" wrapText="1"/>
    </xf>
    <xf numFmtId="0" fontId="25" fillId="11" borderId="3" xfId="0" applyFont="1" applyFill="1" applyBorder="1" applyAlignment="1">
      <alignment horizontal="center" vertical="center" wrapText="1"/>
    </xf>
    <xf numFmtId="0" fontId="5" fillId="11" borderId="3" xfId="1" applyFont="1" applyFill="1" applyBorder="1" applyAlignment="1">
      <alignment horizontal="center" vertical="center" wrapText="1"/>
    </xf>
    <xf numFmtId="0" fontId="15" fillId="7" borderId="8" xfId="1" applyFont="1" applyFill="1" applyBorder="1" applyAlignment="1">
      <alignment horizontal="center" vertical="center" wrapText="1"/>
    </xf>
    <xf numFmtId="3" fontId="5" fillId="12" borderId="1" xfId="2" applyNumberFormat="1" applyFont="1" applyFill="1" applyBorder="1" applyAlignment="1">
      <alignment vertical="center"/>
    </xf>
    <xf numFmtId="3" fontId="4" fillId="0" borderId="0" xfId="2" applyNumberFormat="1"/>
    <xf numFmtId="0" fontId="4" fillId="17"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8" borderId="5" xfId="0" applyFont="1" applyFill="1" applyBorder="1" applyAlignment="1">
      <alignment horizontal="center" vertical="center" wrapText="1"/>
    </xf>
    <xf numFmtId="0" fontId="25" fillId="4" borderId="3" xfId="0" applyFont="1" applyFill="1" applyBorder="1" applyAlignment="1">
      <alignment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vertical="center" wrapText="1"/>
    </xf>
    <xf numFmtId="9" fontId="4" fillId="4" borderId="3" xfId="1"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10" fontId="0" fillId="2" borderId="3" xfId="0" applyNumberFormat="1" applyFill="1" applyBorder="1" applyAlignment="1" applyProtection="1">
      <alignment horizontal="center" vertical="center" wrapText="1"/>
      <protection locked="0"/>
    </xf>
    <xf numFmtId="10" fontId="4" fillId="2" borderId="3" xfId="0" applyNumberFormat="1" applyFont="1" applyFill="1" applyBorder="1" applyAlignment="1" applyProtection="1">
      <alignment horizontal="center" vertical="center" wrapText="1"/>
      <protection locked="0"/>
    </xf>
    <xf numFmtId="0" fontId="29" fillId="7" borderId="26" xfId="1" applyFont="1" applyFill="1" applyBorder="1" applyAlignment="1">
      <alignment horizontal="center" vertical="center" wrapText="1"/>
    </xf>
    <xf numFmtId="10" fontId="29" fillId="7" borderId="26" xfId="1" applyNumberFormat="1" applyFont="1" applyFill="1" applyBorder="1" applyAlignment="1">
      <alignment horizontal="center" vertical="center" wrapText="1"/>
    </xf>
    <xf numFmtId="10" fontId="4" fillId="4" borderId="3" xfId="1" applyNumberFormat="1" applyFont="1" applyFill="1" applyBorder="1" applyAlignment="1">
      <alignment horizontal="center" vertical="center" wrapText="1"/>
    </xf>
    <xf numFmtId="10" fontId="0" fillId="5" borderId="0" xfId="0" applyNumberFormat="1" applyFill="1"/>
    <xf numFmtId="10" fontId="0" fillId="2" borderId="1" xfId="0" applyNumberFormat="1" applyFill="1" applyBorder="1" applyAlignment="1" applyProtection="1">
      <alignment horizontal="center" vertical="center" wrapText="1"/>
      <protection locked="0"/>
    </xf>
    <xf numFmtId="0" fontId="0" fillId="0" borderId="33" xfId="0" applyBorder="1" applyAlignment="1" applyProtection="1">
      <alignment wrapText="1"/>
      <protection locked="0"/>
    </xf>
    <xf numFmtId="0" fontId="0" fillId="0" borderId="22" xfId="0" applyBorder="1" applyAlignment="1" applyProtection="1">
      <alignment vertical="top"/>
      <protection locked="0"/>
    </xf>
    <xf numFmtId="165"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6" fontId="12" fillId="2" borderId="3" xfId="1" applyNumberFormat="1" applyFont="1" applyFill="1" applyBorder="1" applyAlignment="1">
      <alignment horizontal="center" vertical="center" wrapText="1"/>
    </xf>
    <xf numFmtId="166" fontId="12" fillId="9" borderId="1" xfId="1" applyNumberFormat="1" applyFont="1" applyFill="1" applyBorder="1" applyAlignment="1">
      <alignment horizontal="center" vertical="center" wrapText="1"/>
    </xf>
    <xf numFmtId="9" fontId="12" fillId="2" borderId="3" xfId="1" applyNumberFormat="1" applyFont="1" applyFill="1" applyBorder="1" applyAlignment="1">
      <alignment horizontal="center" vertical="center" wrapText="1"/>
    </xf>
    <xf numFmtId="9" fontId="12" fillId="9" borderId="1" xfId="1" applyNumberFormat="1" applyFont="1" applyFill="1" applyBorder="1" applyAlignment="1">
      <alignment horizontal="center" vertical="center" wrapText="1"/>
    </xf>
    <xf numFmtId="10" fontId="13" fillId="7" borderId="26" xfId="1" applyNumberFormat="1" applyFont="1" applyFill="1" applyBorder="1" applyAlignment="1">
      <alignment horizontal="center" vertical="center" wrapText="1"/>
    </xf>
    <xf numFmtId="0" fontId="10" fillId="10" borderId="35" xfId="0" applyFont="1" applyFill="1" applyBorder="1" applyAlignment="1">
      <alignment horizontal="center" vertical="center" wrapText="1"/>
    </xf>
    <xf numFmtId="166" fontId="12" fillId="2" borderId="36" xfId="1" applyNumberFormat="1" applyFont="1" applyFill="1" applyBorder="1" applyAlignment="1">
      <alignment horizontal="center" vertical="center" wrapText="1"/>
    </xf>
    <xf numFmtId="166" fontId="12" fillId="2" borderId="37" xfId="1" applyNumberFormat="1" applyFont="1" applyFill="1" applyBorder="1" applyAlignment="1">
      <alignment horizontal="center" vertical="center" wrapText="1"/>
    </xf>
    <xf numFmtId="0" fontId="10" fillId="10" borderId="38" xfId="0" applyFont="1" applyFill="1" applyBorder="1" applyAlignment="1">
      <alignment horizontal="center" vertical="center" wrapText="1"/>
    </xf>
    <xf numFmtId="166" fontId="12" fillId="9" borderId="39" xfId="1" applyNumberFormat="1" applyFont="1" applyFill="1" applyBorder="1" applyAlignment="1">
      <alignment horizontal="center" vertical="center" wrapText="1"/>
    </xf>
    <xf numFmtId="166" fontId="12" fillId="2" borderId="40" xfId="1" applyNumberFormat="1" applyFont="1" applyFill="1" applyBorder="1" applyAlignment="1">
      <alignment horizontal="center" vertical="center" wrapText="1"/>
    </xf>
    <xf numFmtId="0" fontId="10" fillId="10" borderId="41" xfId="0" applyFont="1" applyFill="1" applyBorder="1" applyAlignment="1">
      <alignment horizontal="center" vertical="center" wrapText="1"/>
    </xf>
    <xf numFmtId="166" fontId="12" fillId="2" borderId="42" xfId="1" applyNumberFormat="1" applyFont="1" applyFill="1" applyBorder="1" applyAlignment="1">
      <alignment horizontal="center" vertical="center" wrapText="1"/>
    </xf>
    <xf numFmtId="166" fontId="12" fillId="2" borderId="43" xfId="1" applyNumberFormat="1" applyFont="1" applyFill="1" applyBorder="1" applyAlignment="1">
      <alignment horizontal="center" vertical="center" wrapText="1"/>
    </xf>
    <xf numFmtId="9" fontId="12" fillId="2" borderId="36" xfId="1" applyNumberFormat="1" applyFont="1" applyFill="1" applyBorder="1" applyAlignment="1">
      <alignment horizontal="center" vertical="center" wrapText="1"/>
    </xf>
    <xf numFmtId="9" fontId="12" fillId="2" borderId="37" xfId="1" applyNumberFormat="1" applyFont="1" applyFill="1" applyBorder="1" applyAlignment="1">
      <alignment horizontal="center" vertical="center" wrapText="1"/>
    </xf>
    <xf numFmtId="9" fontId="12" fillId="9" borderId="39" xfId="1" applyNumberFormat="1" applyFont="1" applyFill="1" applyBorder="1" applyAlignment="1">
      <alignment horizontal="center" vertical="center" wrapText="1"/>
    </xf>
    <xf numFmtId="9" fontId="12" fillId="2" borderId="40" xfId="1" applyNumberFormat="1" applyFont="1" applyFill="1" applyBorder="1" applyAlignment="1">
      <alignment horizontal="center" vertical="center" wrapText="1"/>
    </xf>
    <xf numFmtId="9" fontId="12" fillId="2" borderId="42" xfId="1" applyNumberFormat="1" applyFont="1" applyFill="1" applyBorder="1" applyAlignment="1">
      <alignment horizontal="center" vertical="center" wrapText="1"/>
    </xf>
    <xf numFmtId="9" fontId="12" fillId="2" borderId="43" xfId="1" applyNumberFormat="1"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25" xfId="1" applyFont="1" applyFill="1" applyBorder="1" applyAlignment="1">
      <alignment horizontal="center" vertical="center" wrapText="1"/>
    </xf>
    <xf numFmtId="0" fontId="21" fillId="2" borderId="3" xfId="0" applyFont="1" applyFill="1" applyBorder="1" applyAlignment="1" applyProtection="1">
      <alignment horizontal="center" vertical="center" wrapText="1"/>
      <protection locked="0"/>
    </xf>
    <xf numFmtId="0" fontId="16" fillId="19" borderId="26" xfId="1" applyFont="1" applyFill="1" applyBorder="1" applyAlignment="1">
      <alignment horizontal="center" vertical="center" wrapText="1"/>
    </xf>
    <xf numFmtId="0" fontId="16" fillId="19" borderId="26" xfId="0" applyFont="1" applyFill="1" applyBorder="1" applyAlignment="1">
      <alignment horizontal="center" vertical="center" wrapText="1"/>
    </xf>
    <xf numFmtId="0" fontId="16" fillId="19" borderId="9" xfId="0" applyFont="1" applyFill="1" applyBorder="1" applyAlignment="1">
      <alignment horizontal="center" vertical="center" wrapText="1"/>
    </xf>
    <xf numFmtId="0" fontId="16" fillId="22" borderId="26" xfId="1" applyFont="1" applyFill="1" applyBorder="1" applyAlignment="1">
      <alignment horizontal="center" vertical="center" wrapText="1"/>
    </xf>
    <xf numFmtId="0" fontId="16" fillId="22" borderId="19" xfId="1" applyFont="1" applyFill="1" applyBorder="1" applyAlignment="1">
      <alignment horizontal="center" vertical="center" wrapText="1"/>
    </xf>
    <xf numFmtId="0" fontId="16" fillId="19" borderId="19" xfId="1" applyFont="1" applyFill="1" applyBorder="1" applyAlignment="1">
      <alignment horizontal="center" vertical="center" wrapText="1"/>
    </xf>
    <xf numFmtId="0" fontId="16" fillId="19" borderId="20" xfId="0" applyFont="1" applyFill="1" applyBorder="1" applyAlignment="1">
      <alignment horizontal="center" vertical="center" wrapText="1"/>
    </xf>
    <xf numFmtId="0" fontId="16" fillId="19" borderId="20" xfId="1" applyFont="1" applyFill="1" applyBorder="1" applyAlignment="1">
      <alignment horizontal="center" vertical="center" wrapText="1"/>
    </xf>
    <xf numFmtId="49" fontId="21" fillId="21" borderId="30" xfId="0" applyNumberFormat="1" applyFont="1" applyFill="1" applyBorder="1" applyAlignment="1" applyProtection="1">
      <alignment horizontal="center" vertical="center" wrapText="1"/>
      <protection locked="0"/>
    </xf>
    <xf numFmtId="165" fontId="21" fillId="21" borderId="3" xfId="0" applyNumberFormat="1" applyFont="1" applyFill="1" applyBorder="1" applyAlignment="1" applyProtection="1">
      <alignment horizontal="center" vertical="center" wrapText="1"/>
      <protection locked="0"/>
    </xf>
    <xf numFmtId="49" fontId="21" fillId="21" borderId="22" xfId="0" applyNumberFormat="1" applyFont="1" applyFill="1" applyBorder="1" applyAlignment="1" applyProtection="1">
      <alignment horizontal="center" vertical="center" wrapText="1"/>
      <protection locked="0"/>
    </xf>
    <xf numFmtId="49" fontId="21" fillId="21" borderId="5" xfId="0" applyNumberFormat="1" applyFont="1" applyFill="1" applyBorder="1" applyAlignment="1" applyProtection="1">
      <alignment horizontal="center" vertical="center" wrapText="1"/>
      <protection locked="0"/>
    </xf>
    <xf numFmtId="165" fontId="21" fillId="21" borderId="5" xfId="0" applyNumberFormat="1" applyFont="1" applyFill="1" applyBorder="1" applyAlignment="1" applyProtection="1">
      <alignment horizontal="left" vertical="center" wrapText="1"/>
      <protection locked="0"/>
    </xf>
    <xf numFmtId="165" fontId="21" fillId="21" borderId="22" xfId="0" applyNumberFormat="1" applyFont="1" applyFill="1" applyBorder="1" applyAlignment="1" applyProtection="1">
      <alignment horizontal="left" vertical="center" wrapText="1"/>
      <protection locked="0"/>
    </xf>
    <xf numFmtId="165" fontId="21" fillId="21" borderId="22" xfId="0" applyNumberFormat="1" applyFont="1" applyFill="1" applyBorder="1" applyAlignment="1" applyProtection="1">
      <alignment horizontal="center" vertical="center" wrapText="1"/>
      <protection locked="0"/>
    </xf>
    <xf numFmtId="49" fontId="21" fillId="21" borderId="1" xfId="0" applyNumberFormat="1" applyFont="1" applyFill="1" applyBorder="1" applyAlignment="1" applyProtection="1">
      <alignment horizontal="center" vertical="center" wrapText="1"/>
      <protection locked="0"/>
    </xf>
    <xf numFmtId="165" fontId="21" fillId="21" borderId="1" xfId="0" applyNumberFormat="1" applyFont="1" applyFill="1" applyBorder="1" applyAlignment="1" applyProtection="1">
      <alignment horizontal="center" vertical="center" wrapText="1"/>
      <protection locked="0"/>
    </xf>
    <xf numFmtId="0" fontId="21" fillId="8" borderId="3" xfId="0" applyFont="1" applyFill="1" applyBorder="1" applyAlignment="1" applyProtection="1">
      <alignment horizontal="center" vertical="center" wrapText="1"/>
      <protection locked="0"/>
    </xf>
    <xf numFmtId="166" fontId="12" fillId="6" borderId="1" xfId="1" applyNumberFormat="1" applyFont="1" applyFill="1" applyBorder="1" applyAlignment="1">
      <alignment horizontal="center" vertical="center" wrapText="1"/>
    </xf>
    <xf numFmtId="166" fontId="12" fillId="6" borderId="3" xfId="1" applyNumberFormat="1"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6" fillId="19" borderId="27" xfId="0" applyFont="1" applyFill="1" applyBorder="1" applyAlignment="1">
      <alignment horizontal="center" vertical="center" wrapText="1"/>
    </xf>
    <xf numFmtId="0" fontId="4" fillId="12"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0" fontId="4" fillId="23" borderId="1" xfId="0" applyFont="1" applyFill="1" applyBorder="1" applyAlignment="1">
      <alignment horizontal="center" vertical="center" wrapText="1"/>
    </xf>
    <xf numFmtId="3" fontId="4" fillId="23" borderId="1" xfId="0" applyNumberFormat="1" applyFont="1" applyFill="1" applyBorder="1" applyAlignment="1">
      <alignment horizontal="center" vertical="center" wrapText="1"/>
    </xf>
    <xf numFmtId="165" fontId="21" fillId="23" borderId="1" xfId="0" applyNumberFormat="1" applyFont="1" applyFill="1" applyBorder="1" applyAlignment="1">
      <alignment horizontal="center" vertical="center" wrapText="1"/>
    </xf>
    <xf numFmtId="164" fontId="21" fillId="23" borderId="1" xfId="0" applyNumberFormat="1" applyFont="1" applyFill="1" applyBorder="1" applyAlignment="1">
      <alignment horizontal="center" vertical="center" wrapText="1"/>
    </xf>
    <xf numFmtId="0" fontId="4" fillId="23" borderId="3" xfId="0" applyFont="1" applyFill="1" applyBorder="1" applyAlignment="1">
      <alignment horizontal="center" vertical="center" wrapText="1"/>
    </xf>
    <xf numFmtId="165" fontId="5" fillId="23" borderId="1" xfId="0" applyNumberFormat="1" applyFont="1" applyFill="1" applyBorder="1" applyAlignment="1">
      <alignment horizontal="center" vertical="center" wrapText="1"/>
    </xf>
    <xf numFmtId="0" fontId="21" fillId="9" borderId="3" xfId="0" applyFont="1" applyFill="1" applyBorder="1" applyAlignment="1" applyProtection="1">
      <alignment horizontal="center" vertical="center" wrapText="1"/>
      <protection locked="0"/>
    </xf>
    <xf numFmtId="0" fontId="4" fillId="5" borderId="0" xfId="0" applyFont="1" applyFill="1"/>
    <xf numFmtId="9" fontId="0" fillId="15" borderId="3" xfId="4" applyNumberFormat="1" applyFont="1" applyFill="1" applyBorder="1" applyAlignment="1" applyProtection="1">
      <alignment horizontal="center" vertical="center"/>
      <protection locked="0"/>
    </xf>
    <xf numFmtId="167" fontId="0" fillId="15" borderId="3" xfId="4" applyNumberFormat="1" applyFont="1" applyFill="1" applyBorder="1" applyAlignment="1" applyProtection="1">
      <alignment horizontal="center" vertical="center"/>
      <protection locked="0"/>
    </xf>
    <xf numFmtId="0" fontId="4" fillId="15" borderId="3" xfId="0" applyFont="1" applyFill="1" applyBorder="1" applyAlignment="1" applyProtection="1">
      <alignment horizontal="center" vertical="center" wrapText="1"/>
      <protection locked="0"/>
    </xf>
    <xf numFmtId="0" fontId="7" fillId="14" borderId="1" xfId="0" applyFont="1" applyFill="1" applyBorder="1" applyAlignment="1">
      <alignment horizontal="left" vertical="center" wrapText="1"/>
    </xf>
    <xf numFmtId="0" fontId="7" fillId="14" borderId="1" xfId="0" applyFont="1" applyFill="1" applyBorder="1" applyAlignment="1">
      <alignment horizontal="center" vertical="center" wrapText="1"/>
    </xf>
    <xf numFmtId="44" fontId="0" fillId="0" borderId="1" xfId="9" applyFont="1" applyBorder="1" applyAlignment="1">
      <alignment vertical="center"/>
    </xf>
    <xf numFmtId="44" fontId="21" fillId="2" borderId="1" xfId="9" applyFont="1" applyFill="1" applyBorder="1" applyAlignment="1" applyProtection="1">
      <alignment horizontal="center"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xf>
    <xf numFmtId="44" fontId="0" fillId="3" borderId="1" xfId="9" applyFont="1" applyFill="1" applyBorder="1" applyAlignment="1">
      <alignment vertical="center"/>
    </xf>
    <xf numFmtId="44" fontId="21" fillId="3" borderId="1" xfId="9" applyFont="1" applyFill="1" applyBorder="1" applyAlignment="1" applyProtection="1">
      <alignment horizontal="center" vertical="center" wrapText="1"/>
    </xf>
    <xf numFmtId="0" fontId="0" fillId="5" borderId="0" xfId="0" applyFill="1" applyAlignment="1">
      <alignment horizontal="center"/>
    </xf>
    <xf numFmtId="0" fontId="6" fillId="0" borderId="1" xfId="0" applyFont="1" applyBorder="1" applyAlignment="1">
      <alignment horizontal="center" vertical="center" wrapText="1"/>
    </xf>
    <xf numFmtId="0" fontId="0" fillId="0" borderId="1" xfId="0" applyBorder="1" applyAlignment="1">
      <alignment vertical="center"/>
    </xf>
    <xf numFmtId="168" fontId="0" fillId="0" borderId="1" xfId="0" applyNumberFormat="1" applyBorder="1" applyAlignment="1">
      <alignment horizontal="center" vertical="center"/>
    </xf>
    <xf numFmtId="0" fontId="21" fillId="8" borderId="3" xfId="0" applyFont="1" applyFill="1" applyBorder="1" applyAlignment="1">
      <alignment horizontal="center" vertical="center" wrapText="1"/>
    </xf>
    <xf numFmtId="0" fontId="0" fillId="0" borderId="3" xfId="0" applyBorder="1" applyAlignment="1">
      <alignment vertical="center"/>
    </xf>
    <xf numFmtId="168" fontId="0" fillId="0" borderId="3" xfId="0" applyNumberFormat="1" applyBorder="1" applyAlignment="1">
      <alignment horizontal="center" vertical="center"/>
    </xf>
    <xf numFmtId="167" fontId="0" fillId="0" borderId="3" xfId="11" applyNumberFormat="1" applyFont="1" applyFill="1" applyBorder="1" applyAlignment="1">
      <alignment horizontal="center" vertical="center"/>
    </xf>
    <xf numFmtId="0" fontId="13" fillId="25" borderId="38" xfId="0" applyFont="1" applyFill="1" applyBorder="1" applyAlignment="1">
      <alignment horizontal="center" vertical="center" wrapText="1"/>
    </xf>
    <xf numFmtId="0" fontId="10" fillId="12" borderId="38" xfId="0" applyFont="1" applyFill="1" applyBorder="1" applyAlignment="1">
      <alignment horizontal="center" vertical="center" wrapText="1"/>
    </xf>
    <xf numFmtId="0" fontId="33" fillId="5" borderId="0" xfId="10" applyNumberFormat="1" applyFont="1" applyFill="1" applyBorder="1" applyAlignment="1">
      <alignment horizontal="left" vertical="center" wrapText="1"/>
    </xf>
    <xf numFmtId="0" fontId="33" fillId="5" borderId="0" xfId="10" applyFont="1" applyFill="1" applyBorder="1" applyAlignment="1">
      <alignment wrapText="1"/>
    </xf>
    <xf numFmtId="0" fontId="0" fillId="5" borderId="0" xfId="0" applyFill="1" applyAlignment="1">
      <alignment wrapText="1"/>
    </xf>
    <xf numFmtId="14" fontId="0" fillId="2" borderId="1" xfId="0" applyNumberForma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center"/>
    </xf>
    <xf numFmtId="0" fontId="16" fillId="22" borderId="26" xfId="1" applyFont="1" applyFill="1" applyBorder="1" applyAlignment="1" applyProtection="1">
      <alignment horizontal="center" vertical="center" wrapText="1"/>
      <protection hidden="1"/>
    </xf>
    <xf numFmtId="0" fontId="16" fillId="19" borderId="26" xfId="1" applyFont="1" applyFill="1" applyBorder="1" applyAlignment="1" applyProtection="1">
      <alignment horizontal="center" vertical="center" wrapText="1"/>
      <protection hidden="1"/>
    </xf>
    <xf numFmtId="0" fontId="5" fillId="8" borderId="1" xfId="0" applyFont="1" applyFill="1" applyBorder="1" applyAlignment="1">
      <alignment horizontal="center" vertical="center"/>
    </xf>
    <xf numFmtId="0" fontId="5" fillId="2" borderId="1" xfId="2" applyFont="1" applyFill="1" applyBorder="1" applyAlignment="1">
      <alignment horizontal="center" vertical="center" wrapText="1"/>
    </xf>
    <xf numFmtId="3" fontId="4" fillId="2" borderId="1" xfId="2" applyNumberFormat="1" applyFill="1" applyBorder="1" applyAlignment="1">
      <alignment horizontal="center" vertical="center" wrapText="1"/>
    </xf>
    <xf numFmtId="0" fontId="4" fillId="2" borderId="1" xfId="2" applyFill="1" applyBorder="1" applyAlignment="1">
      <alignment horizontal="center" vertical="center"/>
    </xf>
    <xf numFmtId="0" fontId="4" fillId="2" borderId="0" xfId="2" applyFill="1" applyAlignment="1">
      <alignment vertical="center"/>
    </xf>
    <xf numFmtId="3" fontId="4" fillId="2" borderId="1" xfId="2" applyNumberFormat="1" applyFill="1" applyBorder="1" applyAlignment="1">
      <alignment horizontal="center" vertical="center"/>
    </xf>
    <xf numFmtId="3" fontId="4" fillId="2" borderId="1" xfId="2" applyNumberFormat="1" applyFill="1" applyBorder="1" applyAlignment="1">
      <alignment vertical="center"/>
    </xf>
    <xf numFmtId="0" fontId="4" fillId="2" borderId="1" xfId="2" applyFill="1" applyBorder="1" applyAlignment="1">
      <alignment vertical="center" wrapText="1"/>
    </xf>
    <xf numFmtId="0" fontId="10" fillId="24" borderId="55" xfId="0" applyFont="1" applyFill="1" applyBorder="1" applyAlignment="1">
      <alignment horizontal="center" vertical="center" wrapText="1"/>
    </xf>
    <xf numFmtId="14" fontId="4" fillId="2" borderId="1" xfId="0" applyNumberFormat="1" applyFont="1" applyFill="1" applyBorder="1" applyAlignment="1">
      <alignment horizontal="center"/>
    </xf>
    <xf numFmtId="0" fontId="4" fillId="2" borderId="1" xfId="0" applyFont="1" applyFill="1" applyBorder="1" applyAlignment="1">
      <alignment horizontal="left"/>
    </xf>
    <xf numFmtId="0" fontId="15" fillId="26" borderId="26" xfId="1" applyFont="1" applyFill="1" applyBorder="1" applyAlignment="1">
      <alignment horizontal="center" vertical="center" wrapText="1"/>
    </xf>
    <xf numFmtId="0" fontId="15" fillId="26" borderId="7" xfId="1" applyFont="1" applyFill="1" applyBorder="1" applyAlignment="1">
      <alignment horizontal="center" vertical="center" wrapText="1"/>
    </xf>
    <xf numFmtId="164" fontId="0" fillId="5" borderId="0" xfId="0" applyNumberFormat="1" applyFill="1"/>
    <xf numFmtId="0" fontId="10" fillId="20" borderId="51" xfId="1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2" applyBorder="1" applyAlignment="1">
      <alignment horizontal="center" vertical="center"/>
    </xf>
    <xf numFmtId="0" fontId="4" fillId="0" borderId="1" xfId="2" applyBorder="1" applyAlignment="1">
      <alignment horizontal="center" vertical="center" wrapText="1"/>
    </xf>
    <xf numFmtId="3" fontId="4" fillId="0" borderId="1" xfId="2" applyNumberFormat="1" applyBorder="1" applyAlignment="1">
      <alignment horizontal="center" vertical="center" wrapText="1"/>
    </xf>
    <xf numFmtId="0" fontId="21" fillId="27" borderId="1" xfId="2" applyFont="1" applyFill="1" applyBorder="1" applyAlignment="1">
      <alignment horizontal="center" vertical="center" wrapText="1"/>
    </xf>
    <xf numFmtId="0" fontId="5" fillId="0" borderId="1" xfId="2" applyFont="1" applyBorder="1" applyAlignment="1">
      <alignment horizontal="center" vertical="center" wrapText="1"/>
    </xf>
    <xf numFmtId="3" fontId="4" fillId="0" borderId="1" xfId="2" applyNumberFormat="1" applyBorder="1" applyAlignment="1">
      <alignment vertical="center"/>
    </xf>
    <xf numFmtId="0" fontId="4" fillId="0" borderId="1" xfId="2" applyBorder="1" applyAlignment="1">
      <alignment vertical="center" wrapText="1"/>
    </xf>
    <xf numFmtId="0" fontId="4" fillId="0" borderId="0" xfId="2" applyAlignment="1">
      <alignment vertical="center"/>
    </xf>
    <xf numFmtId="0" fontId="21" fillId="0" borderId="1" xfId="2" applyFont="1" applyBorder="1" applyAlignment="1">
      <alignment horizontal="center" vertical="center" wrapText="1"/>
    </xf>
    <xf numFmtId="165" fontId="21" fillId="0" borderId="1" xfId="2" applyNumberFormat="1" applyFont="1" applyBorder="1" applyAlignment="1">
      <alignment horizontal="center"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165" fontId="0" fillId="3" borderId="1" xfId="0" applyNumberFormat="1" applyFill="1" applyBorder="1" applyAlignment="1">
      <alignment horizontal="center" vertical="center"/>
    </xf>
    <xf numFmtId="168" fontId="0" fillId="9" borderId="3" xfId="0" applyNumberFormat="1" applyFill="1" applyBorder="1" applyAlignment="1">
      <alignment horizontal="center" vertical="center"/>
    </xf>
    <xf numFmtId="0" fontId="0" fillId="9" borderId="3" xfId="0" applyFill="1" applyBorder="1" applyAlignment="1">
      <alignment horizontal="left" vertical="center" indent="1"/>
    </xf>
    <xf numFmtId="0" fontId="0" fillId="9" borderId="1" xfId="0" applyFill="1" applyBorder="1" applyAlignment="1">
      <alignment horizontal="left" vertical="center" indent="1"/>
    </xf>
    <xf numFmtId="9" fontId="0" fillId="9" borderId="3" xfId="0" applyNumberFormat="1" applyFill="1" applyBorder="1" applyAlignment="1">
      <alignment horizontal="center" vertical="center"/>
    </xf>
    <xf numFmtId="9" fontId="0" fillId="9" borderId="1" xfId="0" applyNumberFormat="1" applyFill="1" applyBorder="1" applyAlignment="1">
      <alignment horizontal="center" vertical="center"/>
    </xf>
    <xf numFmtId="164" fontId="21" fillId="9" borderId="1" xfId="2" applyNumberFormat="1" applyFont="1" applyFill="1" applyBorder="1" applyAlignment="1">
      <alignment horizontal="center" vertical="center" wrapText="1"/>
    </xf>
    <xf numFmtId="167" fontId="0" fillId="9" borderId="3" xfId="11" applyNumberFormat="1" applyFont="1" applyFill="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168" fontId="5" fillId="9" borderId="3" xfId="0" applyNumberFormat="1" applyFont="1" applyFill="1" applyBorder="1" applyAlignment="1">
      <alignment horizontal="center" vertical="center"/>
    </xf>
    <xf numFmtId="0" fontId="0" fillId="2" borderId="28" xfId="0" applyFill="1" applyBorder="1" applyAlignment="1">
      <alignment horizontal="center" vertical="center"/>
    </xf>
    <xf numFmtId="5" fontId="0" fillId="2" borderId="28" xfId="9" applyNumberFormat="1" applyFont="1" applyFill="1" applyBorder="1" applyAlignment="1">
      <alignment horizontal="center" vertical="center"/>
    </xf>
    <xf numFmtId="9" fontId="0" fillId="2" borderId="28" xfId="9" applyNumberFormat="1" applyFont="1" applyFill="1" applyBorder="1" applyAlignment="1">
      <alignment horizontal="center" vertical="center"/>
    </xf>
    <xf numFmtId="0" fontId="35" fillId="5" borderId="0" xfId="0" applyFont="1" applyFill="1" applyAlignment="1" applyProtection="1">
      <alignment horizontal="center" vertical="center"/>
      <protection hidden="1"/>
    </xf>
    <xf numFmtId="164" fontId="4" fillId="2" borderId="3" xfId="0" applyNumberFormat="1" applyFont="1" applyFill="1" applyBorder="1" applyAlignment="1">
      <alignment horizontal="center" vertical="center" wrapText="1"/>
    </xf>
    <xf numFmtId="164" fontId="21" fillId="9" borderId="3" xfId="0" applyNumberFormat="1"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165" fontId="21" fillId="9" borderId="3" xfId="0" applyNumberFormat="1"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165" fontId="21" fillId="23" borderId="3" xfId="0" applyNumberFormat="1" applyFont="1" applyFill="1" applyBorder="1" applyAlignment="1">
      <alignment horizontal="center" vertical="center" wrapText="1"/>
    </xf>
    <xf numFmtId="165" fontId="21" fillId="2" borderId="3" xfId="0" applyNumberFormat="1" applyFont="1" applyFill="1" applyBorder="1" applyAlignment="1">
      <alignment horizontal="center" vertical="center" wrapText="1"/>
    </xf>
    <xf numFmtId="164" fontId="21" fillId="0" borderId="1" xfId="2" applyNumberFormat="1" applyFont="1" applyBorder="1" applyAlignment="1">
      <alignment horizontal="center" vertical="center" wrapText="1"/>
    </xf>
    <xf numFmtId="10" fontId="21" fillId="0" borderId="1" xfId="8" applyNumberFormat="1" applyFont="1" applyFill="1" applyBorder="1" applyAlignment="1" applyProtection="1">
      <alignment horizontal="center" vertical="center" wrapText="1"/>
    </xf>
    <xf numFmtId="0" fontId="4" fillId="0" borderId="1" xfId="2" applyBorder="1" applyAlignment="1" applyProtection="1">
      <alignment horizontal="center" vertical="center" wrapText="1"/>
      <protection locked="0"/>
    </xf>
    <xf numFmtId="3" fontId="21" fillId="0" borderId="1" xfId="2" applyNumberFormat="1" applyFont="1" applyBorder="1" applyAlignment="1">
      <alignment horizontal="center" vertical="center" wrapText="1"/>
    </xf>
    <xf numFmtId="8" fontId="21" fillId="0" borderId="1" xfId="8" applyNumberFormat="1" applyFont="1" applyFill="1" applyBorder="1" applyAlignment="1" applyProtection="1">
      <alignment horizontal="center" vertical="center" wrapText="1"/>
    </xf>
    <xf numFmtId="1" fontId="21" fillId="0" borderId="1" xfId="2" applyNumberFormat="1" applyFont="1" applyBorder="1" applyAlignment="1">
      <alignment horizontal="center" vertical="center" wrapText="1"/>
    </xf>
    <xf numFmtId="169" fontId="13" fillId="19" borderId="31" xfId="0" applyNumberFormat="1"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165" fontId="4" fillId="21" borderId="22" xfId="0" applyNumberFormat="1" applyFont="1" applyFill="1" applyBorder="1" applyAlignment="1" applyProtection="1">
      <alignment horizontal="left" vertical="center" wrapText="1"/>
      <protection locked="0"/>
    </xf>
    <xf numFmtId="165" fontId="21" fillId="21" borderId="30" xfId="0" applyNumberFormat="1" applyFont="1" applyFill="1" applyBorder="1" applyAlignment="1" applyProtection="1">
      <alignment horizontal="left" vertical="center" wrapText="1"/>
      <protection locked="0"/>
    </xf>
    <xf numFmtId="165" fontId="21" fillId="21" borderId="30" xfId="0" applyNumberFormat="1" applyFont="1" applyFill="1" applyBorder="1" applyAlignment="1" applyProtection="1">
      <alignment vertical="center" wrapText="1"/>
      <protection locked="0"/>
    </xf>
    <xf numFmtId="49" fontId="4" fillId="21" borderId="30" xfId="0" applyNumberFormat="1" applyFont="1" applyFill="1" applyBorder="1" applyAlignment="1" applyProtection="1">
      <alignment horizontal="center" vertical="center" wrapText="1"/>
      <protection locked="0"/>
    </xf>
    <xf numFmtId="49" fontId="4" fillId="21" borderId="22" xfId="0" applyNumberFormat="1" applyFont="1" applyFill="1" applyBorder="1" applyAlignment="1" applyProtection="1">
      <alignment horizontal="center" vertical="center" wrapText="1"/>
      <protection locked="0"/>
    </xf>
    <xf numFmtId="165" fontId="4" fillId="21" borderId="3" xfId="0" applyNumberFormat="1" applyFont="1" applyFill="1" applyBorder="1" applyAlignment="1" applyProtection="1">
      <alignment horizontal="center" vertical="center" wrapText="1"/>
      <protection locked="0"/>
    </xf>
    <xf numFmtId="165" fontId="11" fillId="21" borderId="22" xfId="0" applyNumberFormat="1" applyFont="1" applyFill="1" applyBorder="1" applyAlignment="1" applyProtection="1">
      <alignment horizontal="left" vertical="center" wrapText="1"/>
      <protection locked="0"/>
    </xf>
    <xf numFmtId="49" fontId="11" fillId="21" borderId="30" xfId="0" applyNumberFormat="1" applyFont="1" applyFill="1" applyBorder="1" applyAlignment="1" applyProtection="1">
      <alignment horizontal="center" vertical="center" wrapText="1"/>
      <protection locked="0"/>
    </xf>
    <xf numFmtId="49" fontId="11" fillId="21" borderId="22" xfId="0" applyNumberFormat="1" applyFont="1" applyFill="1" applyBorder="1" applyAlignment="1" applyProtection="1">
      <alignment horizontal="center" vertical="center" wrapText="1"/>
      <protection locked="0"/>
    </xf>
    <xf numFmtId="165" fontId="11" fillId="21" borderId="3" xfId="0" applyNumberFormat="1" applyFont="1" applyFill="1" applyBorder="1" applyAlignment="1" applyProtection="1">
      <alignment horizontal="center" vertical="center" wrapText="1"/>
      <protection locked="0"/>
    </xf>
    <xf numFmtId="0" fontId="21" fillId="27" borderId="3" xfId="0" applyFont="1" applyFill="1" applyBorder="1" applyAlignment="1" applyProtection="1">
      <alignment horizontal="center" vertical="center" wrapText="1"/>
      <protection locked="0"/>
    </xf>
    <xf numFmtId="0" fontId="4" fillId="3" borderId="1" xfId="2" applyFill="1" applyBorder="1" applyAlignment="1">
      <alignment vertical="center"/>
    </xf>
    <xf numFmtId="0" fontId="4" fillId="3" borderId="1" xfId="2" applyFill="1" applyBorder="1" applyAlignment="1" applyProtection="1">
      <alignment horizontal="center" vertical="center" wrapText="1"/>
      <protection locked="0"/>
    </xf>
    <xf numFmtId="0" fontId="4" fillId="3" borderId="1" xfId="2" applyFill="1" applyBorder="1" applyAlignment="1">
      <alignment horizontal="center" vertical="center"/>
    </xf>
    <xf numFmtId="0" fontId="5" fillId="3" borderId="1" xfId="2" applyFont="1" applyFill="1" applyBorder="1" applyAlignment="1">
      <alignment horizontal="center" vertical="center" wrapText="1"/>
    </xf>
    <xf numFmtId="0" fontId="4" fillId="3" borderId="0" xfId="2" applyFill="1" applyAlignment="1">
      <alignment vertical="center"/>
    </xf>
    <xf numFmtId="0" fontId="4" fillId="28" borderId="1" xfId="2" applyFill="1" applyBorder="1" applyAlignment="1">
      <alignment vertical="center"/>
    </xf>
    <xf numFmtId="0" fontId="4" fillId="28" borderId="1" xfId="2" applyFill="1" applyBorder="1" applyAlignment="1">
      <alignment horizontal="center" vertical="center"/>
    </xf>
    <xf numFmtId="0" fontId="4" fillId="28" borderId="0" xfId="2" applyFill="1" applyAlignment="1">
      <alignment vertical="center"/>
    </xf>
    <xf numFmtId="0" fontId="4" fillId="28" borderId="0" xfId="2" applyFill="1"/>
    <xf numFmtId="165" fontId="36" fillId="2" borderId="1" xfId="2" applyNumberFormat="1" applyFont="1" applyFill="1" applyBorder="1" applyAlignment="1">
      <alignment horizontal="center" vertical="center" wrapText="1"/>
    </xf>
    <xf numFmtId="164" fontId="36" fillId="2" borderId="1" xfId="2" applyNumberFormat="1" applyFont="1" applyFill="1" applyBorder="1" applyAlignment="1">
      <alignment horizontal="center" vertical="center" wrapText="1"/>
    </xf>
    <xf numFmtId="0" fontId="36" fillId="2" borderId="1" xfId="2" applyFont="1" applyFill="1" applyBorder="1" applyAlignment="1">
      <alignment horizontal="center" vertical="center" wrapText="1"/>
    </xf>
    <xf numFmtId="4" fontId="36" fillId="2" borderId="1" xfId="8" applyNumberFormat="1" applyFont="1" applyFill="1" applyBorder="1" applyAlignment="1" applyProtection="1">
      <alignment horizontal="center" vertical="center" wrapText="1"/>
    </xf>
    <xf numFmtId="10" fontId="36" fillId="2" borderId="1" xfId="8" applyNumberFormat="1" applyFont="1" applyFill="1" applyBorder="1" applyAlignment="1" applyProtection="1">
      <alignment horizontal="center" vertical="center" wrapText="1"/>
    </xf>
    <xf numFmtId="44" fontId="36" fillId="2" borderId="1" xfId="9" applyFont="1" applyFill="1" applyBorder="1" applyAlignment="1" applyProtection="1">
      <alignment horizontal="center" vertical="center" wrapText="1"/>
    </xf>
    <xf numFmtId="3" fontId="36" fillId="2" borderId="1" xfId="2" applyNumberFormat="1" applyFont="1" applyFill="1" applyBorder="1" applyAlignment="1">
      <alignment horizontal="center" vertical="center" wrapText="1"/>
    </xf>
    <xf numFmtId="0" fontId="6" fillId="0" borderId="1" xfId="2" applyFont="1" applyBorder="1" applyAlignment="1">
      <alignment horizontal="center" vertical="center" wrapText="1"/>
    </xf>
    <xf numFmtId="3" fontId="6" fillId="0" borderId="1" xfId="2" applyNumberFormat="1" applyFont="1" applyBorder="1" applyAlignment="1">
      <alignment horizontal="center" vertical="center" wrapText="1"/>
    </xf>
    <xf numFmtId="165" fontId="36" fillId="0" borderId="1" xfId="2" applyNumberFormat="1" applyFont="1" applyBorder="1" applyAlignment="1">
      <alignment horizontal="center" vertical="center" wrapText="1"/>
    </xf>
    <xf numFmtId="164" fontId="36" fillId="0" borderId="1" xfId="2" applyNumberFormat="1" applyFont="1" applyBorder="1" applyAlignment="1">
      <alignment horizontal="center" vertical="center" wrapText="1"/>
    </xf>
    <xf numFmtId="0" fontId="36" fillId="0" borderId="1" xfId="2" applyFont="1" applyBorder="1" applyAlignment="1">
      <alignment horizontal="center" vertical="center" wrapText="1"/>
    </xf>
    <xf numFmtId="4" fontId="36" fillId="0" borderId="1" xfId="8" applyNumberFormat="1" applyFont="1" applyFill="1" applyBorder="1" applyAlignment="1" applyProtection="1">
      <alignment horizontal="center" vertical="center" wrapText="1"/>
    </xf>
    <xf numFmtId="10" fontId="36" fillId="0" borderId="1" xfId="8" applyNumberFormat="1" applyFont="1" applyFill="1" applyBorder="1" applyAlignment="1" applyProtection="1">
      <alignment horizontal="center" vertical="center" wrapText="1"/>
    </xf>
    <xf numFmtId="44" fontId="36" fillId="0" borderId="1" xfId="9" applyFont="1" applyFill="1" applyBorder="1" applyAlignment="1" applyProtection="1">
      <alignment horizontal="center" vertical="center" wrapText="1"/>
    </xf>
    <xf numFmtId="3" fontId="36" fillId="0" borderId="1" xfId="2" applyNumberFormat="1" applyFont="1" applyBorder="1" applyAlignment="1">
      <alignment horizontal="center" vertical="center" wrapText="1"/>
    </xf>
    <xf numFmtId="167" fontId="37" fillId="9" borderId="3" xfId="11" applyNumberFormat="1" applyFont="1" applyFill="1" applyBorder="1" applyAlignment="1">
      <alignment horizontal="center" vertical="center"/>
    </xf>
    <xf numFmtId="44" fontId="0" fillId="0" borderId="1" xfId="9" applyFont="1" applyFill="1" applyBorder="1" applyAlignment="1">
      <alignment wrapText="1"/>
    </xf>
    <xf numFmtId="165" fontId="0" fillId="0" borderId="1" xfId="0" applyNumberFormat="1" applyBorder="1" applyAlignment="1">
      <alignment wrapText="1"/>
    </xf>
    <xf numFmtId="165" fontId="5" fillId="12" borderId="1" xfId="2" applyNumberFormat="1" applyFont="1" applyFill="1" applyBorder="1" applyAlignment="1">
      <alignment horizontal="left" vertical="center"/>
    </xf>
    <xf numFmtId="165" fontId="21" fillId="0" borderId="1" xfId="2" applyNumberFormat="1" applyFont="1" applyBorder="1" applyAlignment="1">
      <alignment horizontal="left" vertical="center" wrapText="1"/>
    </xf>
    <xf numFmtId="165" fontId="21" fillId="2" borderId="1" xfId="2" applyNumberFormat="1" applyFont="1" applyFill="1" applyBorder="1" applyAlignment="1">
      <alignment horizontal="left" vertical="center" wrapText="1"/>
    </xf>
    <xf numFmtId="165" fontId="4" fillId="0" borderId="0" xfId="2" applyNumberFormat="1" applyAlignment="1">
      <alignment horizontal="left"/>
    </xf>
    <xf numFmtId="3" fontId="5" fillId="12" borderId="1" xfId="2" applyNumberFormat="1" applyFont="1" applyFill="1" applyBorder="1" applyAlignment="1">
      <alignment horizontal="center" vertical="center"/>
    </xf>
    <xf numFmtId="3" fontId="4" fillId="0" borderId="0" xfId="2" applyNumberFormat="1" applyAlignment="1">
      <alignment horizontal="center"/>
    </xf>
    <xf numFmtId="164" fontId="5" fillId="12" borderId="1" xfId="9" applyNumberFormat="1" applyFont="1" applyFill="1" applyBorder="1" applyAlignment="1">
      <alignment horizontal="left" vertical="center"/>
    </xf>
    <xf numFmtId="164" fontId="21" fillId="0" borderId="1" xfId="9" applyNumberFormat="1" applyFont="1" applyBorder="1" applyAlignment="1">
      <alignment horizontal="left" vertical="center" wrapText="1"/>
    </xf>
    <xf numFmtId="164" fontId="21" fillId="2" borderId="1" xfId="9" applyNumberFormat="1" applyFont="1" applyFill="1" applyBorder="1" applyAlignment="1">
      <alignment horizontal="left" vertical="center" wrapText="1"/>
    </xf>
    <xf numFmtId="164" fontId="4" fillId="0" borderId="0" xfId="9" applyNumberFormat="1" applyFont="1" applyAlignment="1">
      <alignment horizontal="left"/>
    </xf>
    <xf numFmtId="164" fontId="21" fillId="0" borderId="1" xfId="2" applyNumberFormat="1" applyFont="1" applyBorder="1" applyAlignment="1">
      <alignment horizontal="left" vertical="center" wrapText="1"/>
    </xf>
    <xf numFmtId="165" fontId="21" fillId="0" borderId="3" xfId="0" applyNumberFormat="1" applyFont="1" applyBorder="1" applyAlignment="1" applyProtection="1">
      <alignment horizontal="center" vertical="center" wrapText="1"/>
      <protection locked="0"/>
    </xf>
    <xf numFmtId="164" fontId="21" fillId="0" borderId="1" xfId="9" applyNumberFormat="1" applyFont="1" applyFill="1" applyBorder="1" applyAlignment="1">
      <alignment horizontal="left" vertical="center" wrapText="1"/>
    </xf>
    <xf numFmtId="0" fontId="4" fillId="0" borderId="5" xfId="2" applyBorder="1" applyAlignment="1" applyProtection="1">
      <alignment horizontal="center" vertical="center" wrapText="1"/>
      <protection locked="0"/>
    </xf>
    <xf numFmtId="165" fontId="4" fillId="0" borderId="1" xfId="9" applyNumberFormat="1" applyFont="1" applyBorder="1" applyAlignment="1">
      <alignment vertical="center"/>
    </xf>
    <xf numFmtId="8" fontId="4" fillId="0" borderId="1" xfId="2" applyNumberFormat="1" applyBorder="1" applyAlignment="1">
      <alignment vertical="center"/>
    </xf>
    <xf numFmtId="170" fontId="4" fillId="0" borderId="1" xfId="2" applyNumberFormat="1" applyBorder="1" applyAlignment="1">
      <alignment vertical="center"/>
    </xf>
    <xf numFmtId="10" fontId="4" fillId="0" borderId="1" xfId="2" applyNumberFormat="1" applyBorder="1" applyAlignment="1">
      <alignment vertical="center"/>
    </xf>
    <xf numFmtId="0" fontId="6" fillId="0" borderId="1" xfId="2" applyFont="1" applyBorder="1" applyAlignment="1">
      <alignment vertical="center"/>
    </xf>
    <xf numFmtId="0" fontId="6" fillId="0" borderId="1" xfId="2" applyFont="1" applyBorder="1" applyAlignment="1">
      <alignment horizontal="left" vertical="center"/>
    </xf>
    <xf numFmtId="165" fontId="6" fillId="0" borderId="1" xfId="2" applyNumberFormat="1" applyFont="1" applyBorder="1" applyAlignment="1">
      <alignment horizontal="center" vertical="center" wrapText="1"/>
    </xf>
    <xf numFmtId="164" fontId="6" fillId="0" borderId="1" xfId="2" applyNumberFormat="1" applyFont="1" applyBorder="1" applyAlignment="1">
      <alignment horizontal="center" vertical="center" wrapText="1"/>
    </xf>
    <xf numFmtId="3" fontId="4" fillId="0" borderId="1" xfId="2" applyNumberFormat="1" applyBorder="1" applyAlignment="1">
      <alignment horizontal="center" vertical="center"/>
    </xf>
    <xf numFmtId="165" fontId="4" fillId="0" borderId="1" xfId="2" applyNumberFormat="1" applyBorder="1" applyAlignment="1">
      <alignment horizontal="left" vertical="center"/>
    </xf>
    <xf numFmtId="164" fontId="4" fillId="0" borderId="1" xfId="9" applyNumberFormat="1" applyFont="1" applyFill="1" applyBorder="1" applyAlignment="1">
      <alignment horizontal="left" vertical="center"/>
    </xf>
    <xf numFmtId="164" fontId="4" fillId="0" borderId="1" xfId="2" applyNumberFormat="1" applyBorder="1" applyAlignment="1">
      <alignment horizontal="left" vertical="center"/>
    </xf>
    <xf numFmtId="165" fontId="4" fillId="0" borderId="1" xfId="2" applyNumberFormat="1" applyBorder="1" applyAlignment="1">
      <alignment horizontal="left" vertical="center" wrapText="1"/>
    </xf>
    <xf numFmtId="164" fontId="4" fillId="0" borderId="1" xfId="9" applyNumberFormat="1" applyFont="1" applyFill="1" applyBorder="1" applyAlignment="1">
      <alignment horizontal="left" vertical="center" wrapText="1"/>
    </xf>
    <xf numFmtId="164" fontId="4" fillId="0" borderId="1" xfId="2" applyNumberFormat="1" applyBorder="1" applyAlignment="1">
      <alignment horizontal="center" vertical="center" wrapText="1"/>
    </xf>
    <xf numFmtId="164" fontId="4" fillId="0" borderId="1" xfId="2" applyNumberFormat="1" applyBorder="1" applyAlignment="1">
      <alignment horizontal="left" vertical="center" wrapText="1"/>
    </xf>
    <xf numFmtId="165" fontId="4" fillId="0" borderId="1" xfId="2" applyNumberFormat="1" applyBorder="1" applyAlignment="1">
      <alignment horizontal="center" vertical="center" wrapText="1"/>
    </xf>
    <xf numFmtId="0" fontId="10" fillId="10" borderId="54" xfId="0" applyFont="1" applyFill="1" applyBorder="1" applyAlignment="1">
      <alignment horizontal="center" vertical="center" wrapText="1"/>
    </xf>
    <xf numFmtId="0" fontId="10" fillId="10" borderId="0" xfId="0" applyFont="1" applyFill="1" applyAlignment="1">
      <alignment horizontal="center" vertical="center" wrapText="1"/>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wrapText="1" indent="1"/>
    </xf>
    <xf numFmtId="0" fontId="4" fillId="2" borderId="39" xfId="0" applyFont="1" applyFill="1" applyBorder="1" applyAlignment="1">
      <alignment horizontal="left" wrapText="1" inden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left" vertical="center" wrapText="1" indent="1"/>
    </xf>
    <xf numFmtId="0" fontId="4" fillId="2" borderId="6" xfId="0" applyFont="1" applyFill="1" applyBorder="1" applyAlignment="1">
      <alignment horizontal="left" wrapText="1" indent="1"/>
    </xf>
    <xf numFmtId="0" fontId="4" fillId="2" borderId="2" xfId="0" applyFont="1" applyFill="1" applyBorder="1" applyAlignment="1">
      <alignment horizontal="left" wrapText="1" indent="1"/>
    </xf>
    <xf numFmtId="0" fontId="18" fillId="7" borderId="16"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20" fillId="0" borderId="17" xfId="0" applyFont="1" applyBorder="1" applyAlignment="1">
      <alignment wrapText="1"/>
    </xf>
    <xf numFmtId="0" fontId="20" fillId="0" borderId="24" xfId="0" applyFont="1" applyBorder="1" applyAlignment="1">
      <alignment wrapText="1"/>
    </xf>
    <xf numFmtId="0" fontId="13" fillId="25" borderId="1" xfId="0" applyFont="1" applyFill="1" applyBorder="1" applyAlignment="1">
      <alignment horizontal="center" vertical="center" wrapText="1"/>
    </xf>
    <xf numFmtId="0" fontId="16" fillId="25" borderId="1" xfId="0" applyFont="1" applyFill="1" applyBorder="1" applyAlignment="1">
      <alignment wrapText="1"/>
    </xf>
    <xf numFmtId="0" fontId="10" fillId="12" borderId="1" xfId="0" applyFont="1" applyFill="1" applyBorder="1" applyAlignment="1">
      <alignment horizontal="center" vertical="center" wrapText="1"/>
    </xf>
    <xf numFmtId="0" fontId="0" fillId="12" borderId="1" xfId="0" applyFill="1" applyBorder="1" applyAlignment="1">
      <alignment wrapText="1"/>
    </xf>
    <xf numFmtId="0" fontId="15" fillId="7" borderId="19" xfId="1" applyFont="1" applyFill="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wrapText="1"/>
    </xf>
    <xf numFmtId="0" fontId="10" fillId="8" borderId="3" xfId="0" applyFont="1" applyFill="1" applyBorder="1" applyAlignment="1">
      <alignment horizontal="center" vertical="center" wrapText="1"/>
    </xf>
    <xf numFmtId="0" fontId="0" fillId="0" borderId="3" xfId="0" applyBorder="1" applyAlignment="1">
      <alignment horizontal="center" vertical="center" wrapText="1"/>
    </xf>
    <xf numFmtId="0" fontId="10" fillId="8" borderId="5" xfId="0" applyFont="1" applyFill="1" applyBorder="1" applyAlignment="1">
      <alignment vertical="center" wrapText="1"/>
    </xf>
    <xf numFmtId="0" fontId="0" fillId="0" borderId="6" xfId="0" applyBorder="1" applyAlignment="1">
      <alignment vertical="center" wrapText="1"/>
    </xf>
    <xf numFmtId="0" fontId="10" fillId="10" borderId="5" xfId="0" applyFont="1" applyFill="1" applyBorder="1" applyAlignment="1">
      <alignment horizontal="center" vertical="center" wrapText="1"/>
    </xf>
    <xf numFmtId="0" fontId="0" fillId="10" borderId="2" xfId="0" applyFill="1" applyBorder="1" applyAlignment="1">
      <alignment horizontal="center" vertical="center" wrapText="1"/>
    </xf>
    <xf numFmtId="0" fontId="15" fillId="7" borderId="26" xfId="0" applyFont="1" applyFill="1" applyBorder="1" applyAlignment="1">
      <alignment horizontal="center" vertical="center" wrapText="1"/>
    </xf>
    <xf numFmtId="0" fontId="17" fillId="7" borderId="26" xfId="0" applyFont="1" applyFill="1" applyBorder="1" applyAlignment="1">
      <alignment wrapText="1"/>
    </xf>
    <xf numFmtId="0" fontId="27" fillId="2" borderId="5" xfId="0" applyFont="1" applyFill="1" applyBorder="1" applyAlignment="1">
      <alignment horizontal="left" vertical="center" wrapText="1"/>
    </xf>
    <xf numFmtId="0" fontId="27" fillId="0" borderId="6" xfId="0" applyFont="1" applyBorder="1" applyAlignment="1">
      <alignment horizontal="left" vertical="center" wrapText="1"/>
    </xf>
    <xf numFmtId="0" fontId="0" fillId="0" borderId="6" xfId="0" applyBorder="1" applyAlignment="1">
      <alignment wrapText="1"/>
    </xf>
    <xf numFmtId="0" fontId="0" fillId="0" borderId="2" xfId="0" applyBorder="1" applyAlignment="1">
      <alignment wrapText="1"/>
    </xf>
    <xf numFmtId="0" fontId="4" fillId="2" borderId="56" xfId="0" applyFont="1" applyFill="1" applyBorder="1" applyAlignment="1">
      <alignment horizontal="left" vertical="center" wrapText="1" indent="1"/>
    </xf>
    <xf numFmtId="0" fontId="4" fillId="2" borderId="57" xfId="0" applyFont="1" applyFill="1" applyBorder="1" applyAlignment="1">
      <alignment horizontal="left" wrapText="1" indent="1"/>
    </xf>
    <xf numFmtId="0" fontId="4" fillId="2" borderId="59" xfId="0" applyFont="1" applyFill="1" applyBorder="1" applyAlignment="1">
      <alignment horizontal="left" wrapText="1" indent="1"/>
    </xf>
    <xf numFmtId="0" fontId="15" fillId="7" borderId="26" xfId="1" applyFont="1" applyFill="1" applyBorder="1" applyAlignment="1">
      <alignment horizontal="center" vertical="center" wrapText="1"/>
    </xf>
    <xf numFmtId="0" fontId="4" fillId="2" borderId="58" xfId="0" applyFont="1" applyFill="1" applyBorder="1" applyAlignment="1">
      <alignment horizontal="left" wrapText="1" indent="1"/>
    </xf>
    <xf numFmtId="0" fontId="10" fillId="24" borderId="53" xfId="0" applyFont="1" applyFill="1" applyBorder="1" applyAlignment="1">
      <alignment horizontal="center" vertical="center" wrapText="1"/>
    </xf>
    <xf numFmtId="0" fontId="4" fillId="24" borderId="53" xfId="0" applyFont="1" applyFill="1" applyBorder="1" applyAlignment="1">
      <alignment wrapText="1"/>
    </xf>
    <xf numFmtId="0" fontId="15" fillId="7" borderId="9" xfId="0" applyFont="1" applyFill="1" applyBorder="1" applyAlignment="1">
      <alignment horizontal="center" vertical="center" wrapText="1"/>
    </xf>
    <xf numFmtId="0" fontId="9" fillId="0" borderId="10" xfId="0" applyFont="1" applyBorder="1" applyAlignment="1">
      <alignment horizontal="center" wrapText="1"/>
    </xf>
    <xf numFmtId="0" fontId="9" fillId="0" borderId="24" xfId="0" applyFont="1" applyBorder="1" applyAlignment="1">
      <alignment horizontal="center" wrapText="1"/>
    </xf>
    <xf numFmtId="0" fontId="15" fillId="7" borderId="25" xfId="0" applyFont="1" applyFill="1" applyBorder="1" applyAlignment="1">
      <alignment horizontal="center" vertical="center" wrapText="1"/>
    </xf>
    <xf numFmtId="0" fontId="17" fillId="7" borderId="12" xfId="0" applyFont="1" applyFill="1" applyBorder="1" applyAlignment="1">
      <alignment wrapText="1"/>
    </xf>
    <xf numFmtId="0" fontId="9" fillId="0" borderId="26" xfId="0" applyFont="1" applyBorder="1" applyAlignment="1">
      <alignment horizontal="center" wrapText="1"/>
    </xf>
    <xf numFmtId="0" fontId="9" fillId="0" borderId="26" xfId="0" applyFont="1" applyBorder="1" applyAlignment="1">
      <alignment wrapText="1"/>
    </xf>
    <xf numFmtId="0" fontId="15" fillId="7" borderId="23"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21" xfId="1" applyFont="1" applyFill="1" applyBorder="1" applyAlignment="1">
      <alignment horizontal="center" vertical="center" wrapText="1"/>
    </xf>
    <xf numFmtId="0" fontId="15" fillId="7" borderId="15" xfId="1" applyFont="1" applyFill="1" applyBorder="1" applyAlignment="1">
      <alignment horizontal="center" vertical="center" wrapText="1"/>
    </xf>
    <xf numFmtId="0" fontId="13" fillId="7" borderId="44" xfId="1" applyFont="1" applyFill="1" applyBorder="1" applyAlignment="1">
      <alignment horizontal="center" vertical="center" wrapText="1"/>
    </xf>
    <xf numFmtId="0" fontId="12" fillId="0" borderId="29" xfId="0" applyFont="1" applyBorder="1" applyAlignment="1">
      <alignment wrapText="1"/>
    </xf>
    <xf numFmtId="0" fontId="0" fillId="0" borderId="29" xfId="0" applyBorder="1" applyAlignment="1">
      <alignment wrapText="1"/>
    </xf>
    <xf numFmtId="0" fontId="0" fillId="0" borderId="45" xfId="0" applyBorder="1" applyAlignment="1">
      <alignment wrapText="1"/>
    </xf>
    <xf numFmtId="0" fontId="13" fillId="7" borderId="9" xfId="1" applyFont="1" applyFill="1" applyBorder="1" applyAlignment="1">
      <alignment horizontal="center" vertical="center" wrapText="1"/>
    </xf>
    <xf numFmtId="0" fontId="13" fillId="7" borderId="10" xfId="1" applyFont="1" applyFill="1" applyBorder="1" applyAlignment="1">
      <alignment horizontal="center" vertical="center" wrapText="1"/>
    </xf>
    <xf numFmtId="0" fontId="13" fillId="7" borderId="11" xfId="1" applyFont="1" applyFill="1" applyBorder="1" applyAlignment="1">
      <alignment horizontal="center" vertical="center" wrapText="1"/>
    </xf>
    <xf numFmtId="0" fontId="15" fillId="7" borderId="9" xfId="1" applyFont="1" applyFill="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0" fontId="5" fillId="2" borderId="48"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4" fillId="0" borderId="49" xfId="0" applyFont="1" applyBorder="1" applyAlignment="1">
      <alignment wrapText="1"/>
    </xf>
    <xf numFmtId="0" fontId="4" fillId="0" borderId="50" xfId="0" applyFont="1" applyBorder="1" applyAlignment="1">
      <alignment wrapText="1"/>
    </xf>
    <xf numFmtId="0" fontId="15" fillId="7" borderId="16" xfId="0" applyFont="1" applyFill="1" applyBorder="1" applyAlignment="1">
      <alignment horizontal="left" vertical="center" wrapText="1" indent="1"/>
    </xf>
    <xf numFmtId="0" fontId="15" fillId="7" borderId="17" xfId="0" applyFont="1" applyFill="1" applyBorder="1" applyAlignment="1">
      <alignment horizontal="left" vertical="center" wrapText="1" indent="1"/>
    </xf>
    <xf numFmtId="0" fontId="15" fillId="7" borderId="18" xfId="0" applyFont="1" applyFill="1" applyBorder="1" applyAlignment="1">
      <alignment horizontal="left" vertical="center" wrapText="1" indent="1"/>
    </xf>
    <xf numFmtId="0" fontId="13" fillId="7" borderId="13" xfId="1" applyFont="1" applyFill="1" applyBorder="1" applyAlignment="1">
      <alignment horizontal="center" vertical="center" wrapText="1"/>
    </xf>
    <xf numFmtId="0" fontId="13" fillId="7" borderId="14" xfId="1" applyFont="1" applyFill="1" applyBorder="1" applyAlignment="1">
      <alignment horizontal="center" vertical="center" wrapText="1"/>
    </xf>
    <xf numFmtId="0" fontId="13" fillId="7" borderId="15" xfId="1"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22" fillId="2" borderId="3" xfId="0" applyFont="1" applyFill="1" applyBorder="1" applyAlignment="1">
      <alignment horizontal="left" vertical="center" wrapText="1"/>
    </xf>
    <xf numFmtId="0" fontId="0" fillId="2" borderId="3" xfId="0" applyFill="1" applyBorder="1" applyAlignment="1">
      <alignment horizontal="left" wrapText="1"/>
    </xf>
    <xf numFmtId="0" fontId="25" fillId="8" borderId="4" xfId="0" applyFont="1" applyFill="1" applyBorder="1" applyAlignment="1">
      <alignment horizontal="center" vertical="center" wrapText="1"/>
    </xf>
    <xf numFmtId="0" fontId="25" fillId="8" borderId="32" xfId="0" applyFont="1" applyFill="1" applyBorder="1" applyAlignment="1">
      <alignment horizontal="center" vertical="center" wrapText="1"/>
    </xf>
    <xf numFmtId="0" fontId="0" fillId="0" borderId="28" xfId="0" applyBorder="1" applyAlignment="1">
      <alignment horizontal="center" vertical="center" wrapText="1"/>
    </xf>
    <xf numFmtId="0" fontId="25" fillId="8" borderId="28"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3" fillId="7" borderId="23" xfId="1" applyFont="1" applyFill="1" applyBorder="1" applyAlignment="1">
      <alignment horizontal="center" vertical="center" wrapText="1"/>
    </xf>
    <xf numFmtId="0" fontId="12" fillId="0" borderId="20" xfId="0" applyFont="1" applyBorder="1" applyAlignment="1">
      <alignment wrapText="1"/>
    </xf>
    <xf numFmtId="0" fontId="13" fillId="7" borderId="19" xfId="1" applyFont="1" applyFill="1" applyBorder="1" applyAlignment="1">
      <alignment horizontal="center" vertical="center" wrapText="1"/>
    </xf>
    <xf numFmtId="0" fontId="12" fillId="0" borderId="45" xfId="0" applyFont="1" applyBorder="1" applyAlignment="1">
      <alignment wrapText="1"/>
    </xf>
    <xf numFmtId="2" fontId="13" fillId="7" borderId="44" xfId="1" applyNumberFormat="1" applyFont="1" applyFill="1" applyBorder="1" applyAlignment="1">
      <alignment horizontal="center" vertical="center" wrapText="1"/>
    </xf>
    <xf numFmtId="2" fontId="13" fillId="7" borderId="29" xfId="1" applyNumberFormat="1" applyFont="1" applyFill="1" applyBorder="1" applyAlignment="1">
      <alignment horizontal="center" vertical="center" wrapText="1"/>
    </xf>
    <xf numFmtId="2" fontId="13" fillId="7" borderId="45" xfId="1" applyNumberFormat="1" applyFont="1" applyFill="1" applyBorder="1" applyAlignment="1">
      <alignment horizontal="center" vertical="center" wrapText="1"/>
    </xf>
    <xf numFmtId="0" fontId="12" fillId="0" borderId="10" xfId="0" applyFont="1" applyBorder="1" applyAlignment="1">
      <alignment wrapText="1"/>
    </xf>
    <xf numFmtId="0" fontId="12" fillId="0" borderId="11" xfId="0" applyFont="1" applyBorder="1" applyAlignment="1">
      <alignment wrapText="1"/>
    </xf>
    <xf numFmtId="2" fontId="13" fillId="7" borderId="9" xfId="1" applyNumberFormat="1" applyFont="1" applyFill="1" applyBorder="1" applyAlignment="1">
      <alignment horizontal="center" vertical="center" wrapText="1"/>
    </xf>
    <xf numFmtId="2" fontId="13" fillId="7" borderId="10" xfId="1" applyNumberFormat="1" applyFont="1" applyFill="1" applyBorder="1" applyAlignment="1">
      <alignment horizontal="center" vertical="center" wrapText="1"/>
    </xf>
    <xf numFmtId="2" fontId="13" fillId="7" borderId="11" xfId="1" applyNumberFormat="1" applyFont="1" applyFill="1" applyBorder="1" applyAlignment="1">
      <alignment horizontal="center" vertical="center" wrapText="1"/>
    </xf>
    <xf numFmtId="2" fontId="12" fillId="0" borderId="29" xfId="0" applyNumberFormat="1" applyFont="1" applyBorder="1" applyAlignment="1">
      <alignment wrapText="1"/>
    </xf>
    <xf numFmtId="2" fontId="12" fillId="0" borderId="45" xfId="0" applyNumberFormat="1" applyFont="1" applyBorder="1" applyAlignment="1">
      <alignment wrapText="1"/>
    </xf>
    <xf numFmtId="2" fontId="13" fillId="7" borderId="26" xfId="1" applyNumberFormat="1" applyFont="1" applyFill="1" applyBorder="1" applyAlignment="1">
      <alignment horizontal="center" vertical="center" wrapText="1"/>
    </xf>
    <xf numFmtId="2" fontId="12" fillId="0" borderId="26" xfId="0" applyNumberFormat="1" applyFont="1" applyBorder="1" applyAlignment="1">
      <alignment wrapText="1"/>
    </xf>
    <xf numFmtId="0" fontId="13" fillId="7" borderId="26" xfId="1" applyFont="1" applyFill="1" applyBorder="1" applyAlignment="1">
      <alignment horizontal="center" vertical="center" wrapText="1"/>
    </xf>
    <xf numFmtId="0" fontId="12" fillId="0" borderId="26" xfId="0" applyFont="1" applyBorder="1" applyAlignment="1">
      <alignment wrapText="1"/>
    </xf>
    <xf numFmtId="0" fontId="15" fillId="7" borderId="16" xfId="1" applyFont="1" applyFill="1" applyBorder="1" applyAlignment="1">
      <alignment horizontal="center" vertical="center" wrapText="1"/>
    </xf>
    <xf numFmtId="0" fontId="0" fillId="0" borderId="17" xfId="0" applyBorder="1" applyAlignment="1">
      <alignment wrapText="1"/>
    </xf>
    <xf numFmtId="0" fontId="0" fillId="0" borderId="50" xfId="0" applyBorder="1" applyAlignment="1">
      <alignment wrapText="1"/>
    </xf>
    <xf numFmtId="0" fontId="31" fillId="2" borderId="30" xfId="10" applyNumberFormat="1" applyFill="1" applyBorder="1" applyAlignment="1">
      <alignment horizontal="left" vertical="center" wrapText="1"/>
    </xf>
    <xf numFmtId="0" fontId="33" fillId="2" borderId="31" xfId="10" applyNumberFormat="1" applyFont="1" applyFill="1" applyBorder="1" applyAlignment="1">
      <alignment horizontal="left" vertical="center" wrapText="1"/>
    </xf>
    <xf numFmtId="0" fontId="33" fillId="0" borderId="31" xfId="10" applyFont="1" applyBorder="1" applyAlignment="1">
      <alignment wrapText="1"/>
    </xf>
    <xf numFmtId="0" fontId="0" fillId="0" borderId="34" xfId="0" applyBorder="1" applyAlignment="1">
      <alignment wrapText="1"/>
    </xf>
    <xf numFmtId="0" fontId="12" fillId="0" borderId="11" xfId="0" applyFont="1" applyBorder="1" applyAlignment="1">
      <alignment horizontal="center" vertical="center" wrapText="1"/>
    </xf>
    <xf numFmtId="0" fontId="5" fillId="0" borderId="5" xfId="0" applyFont="1" applyBorder="1" applyAlignment="1">
      <alignment vertical="center" wrapText="1"/>
    </xf>
    <xf numFmtId="0" fontId="15" fillId="7" borderId="46" xfId="1" applyFont="1" applyFill="1" applyBorder="1" applyAlignment="1">
      <alignment horizontal="center" vertical="center" wrapText="1"/>
    </xf>
    <xf numFmtId="0" fontId="0" fillId="0" borderId="31" xfId="0" applyBorder="1" applyAlignment="1">
      <alignment wrapText="1"/>
    </xf>
    <xf numFmtId="0" fontId="12" fillId="0" borderId="19" xfId="0" applyFont="1" applyBorder="1" applyAlignment="1">
      <alignment wrapText="1"/>
    </xf>
    <xf numFmtId="0" fontId="15" fillId="7" borderId="44" xfId="1" applyFont="1" applyFill="1" applyBorder="1" applyAlignment="1">
      <alignment horizontal="center" vertical="center" wrapText="1"/>
    </xf>
    <xf numFmtId="0" fontId="0" fillId="0" borderId="24" xfId="0" applyBorder="1" applyAlignment="1">
      <alignment wrapText="1"/>
    </xf>
    <xf numFmtId="0" fontId="33" fillId="0" borderId="34" xfId="10" applyFont="1" applyBorder="1" applyAlignment="1">
      <alignment wrapText="1"/>
    </xf>
    <xf numFmtId="0" fontId="15" fillId="7" borderId="45" xfId="1" applyFont="1" applyFill="1" applyBorder="1" applyAlignment="1">
      <alignment horizontal="center" vertical="center" wrapText="1"/>
    </xf>
    <xf numFmtId="0" fontId="15" fillId="7" borderId="20" xfId="1" applyFont="1" applyFill="1" applyBorder="1" applyAlignment="1">
      <alignment horizontal="center" vertical="center" wrapText="1"/>
    </xf>
    <xf numFmtId="0" fontId="0" fillId="0" borderId="26" xfId="0" applyBorder="1" applyAlignment="1">
      <alignment wrapText="1"/>
    </xf>
    <xf numFmtId="0" fontId="25" fillId="4" borderId="32"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28"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5" fillId="2" borderId="50" xfId="0" applyFont="1" applyFill="1" applyBorder="1" applyAlignment="1">
      <alignment horizontal="left" vertical="center" wrapText="1"/>
    </xf>
    <xf numFmtId="0" fontId="33" fillId="2" borderId="34" xfId="10" applyNumberFormat="1" applyFont="1" applyFill="1" applyBorder="1" applyAlignment="1">
      <alignment horizontal="left" vertical="center" wrapText="1"/>
    </xf>
    <xf numFmtId="0" fontId="5" fillId="0" borderId="1" xfId="0" applyFont="1" applyBorder="1" applyAlignment="1">
      <alignment vertical="center" wrapText="1"/>
    </xf>
    <xf numFmtId="0" fontId="0" fillId="0" borderId="1" xfId="0" applyBorder="1" applyAlignment="1">
      <alignment wrapText="1"/>
    </xf>
    <xf numFmtId="0" fontId="2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5" fillId="8" borderId="1" xfId="0" applyFont="1" applyFill="1" applyBorder="1" applyAlignment="1">
      <alignment horizontal="center" vertical="center" wrapText="1"/>
    </xf>
    <xf numFmtId="0" fontId="0" fillId="0" borderId="47" xfId="0" applyBorder="1" applyAlignment="1">
      <alignment horizontal="center" vertical="center" wrapText="1"/>
    </xf>
    <xf numFmtId="0" fontId="5" fillId="2" borderId="4" xfId="0" applyFont="1" applyFill="1" applyBorder="1" applyAlignment="1">
      <alignment horizontal="left" vertical="center" wrapText="1"/>
    </xf>
    <xf numFmtId="0" fontId="31" fillId="2" borderId="3" xfId="10" applyNumberFormat="1" applyFill="1" applyBorder="1" applyAlignment="1">
      <alignment horizontal="left" vertical="center" wrapText="1"/>
    </xf>
    <xf numFmtId="0" fontId="33" fillId="2" borderId="3" xfId="10" applyNumberFormat="1" applyFont="1" applyFill="1" applyBorder="1" applyAlignment="1">
      <alignment horizontal="left" vertical="center" wrapText="1"/>
    </xf>
    <xf numFmtId="10" fontId="0" fillId="2" borderId="1" xfId="0" applyNumberFormat="1" applyFill="1" applyBorder="1" applyAlignment="1" applyProtection="1">
      <alignment horizontal="center" vertical="center" wrapText="1"/>
      <protection locked="0"/>
    </xf>
    <xf numFmtId="0" fontId="0" fillId="0" borderId="22" xfId="0" applyBorder="1" applyAlignment="1" applyProtection="1">
      <alignment wrapText="1"/>
      <protection locked="0"/>
    </xf>
    <xf numFmtId="0" fontId="0" fillId="0" borderId="33" xfId="0" applyBorder="1" applyAlignment="1" applyProtection="1">
      <alignment wrapText="1"/>
      <protection locked="0"/>
    </xf>
    <xf numFmtId="0" fontId="9" fillId="0" borderId="10" xfId="0" applyFont="1" applyBorder="1" applyAlignment="1">
      <alignment wrapText="1"/>
    </xf>
    <xf numFmtId="0" fontId="9" fillId="0" borderId="11" xfId="0" applyFont="1" applyBorder="1" applyAlignment="1">
      <alignment wrapText="1"/>
    </xf>
    <xf numFmtId="10" fontId="4" fillId="2" borderId="32" xfId="0" applyNumberFormat="1" applyFont="1" applyFill="1" applyBorder="1" applyAlignment="1" applyProtection="1">
      <alignment horizontal="center" vertical="center" wrapText="1"/>
      <protection locked="0"/>
    </xf>
    <xf numFmtId="10" fontId="4" fillId="2" borderId="4" xfId="0" applyNumberFormat="1" applyFont="1" applyFill="1" applyBorder="1" applyAlignment="1" applyProtection="1">
      <alignment horizontal="center" vertical="center" wrapText="1"/>
      <protection locked="0"/>
    </xf>
    <xf numFmtId="0" fontId="13" fillId="7" borderId="16" xfId="1" applyFont="1" applyFill="1" applyBorder="1" applyAlignment="1">
      <alignment horizontal="center" vertical="center" wrapText="1"/>
    </xf>
    <xf numFmtId="0" fontId="12" fillId="0" borderId="24" xfId="0" applyFont="1" applyBorder="1" applyAlignment="1">
      <alignment horizontal="center" vertical="center" wrapText="1"/>
    </xf>
    <xf numFmtId="0" fontId="0" fillId="0" borderId="22" xfId="0" applyBorder="1" applyAlignment="1" applyProtection="1">
      <alignment vertical="top" wrapText="1"/>
      <protection locked="0"/>
    </xf>
    <xf numFmtId="0" fontId="0" fillId="0" borderId="33" xfId="0" applyBorder="1" applyAlignment="1" applyProtection="1">
      <alignment vertical="top" wrapText="1"/>
      <protection locked="0"/>
    </xf>
  </cellXfs>
  <cellStyles count="15">
    <cellStyle name="Comma" xfId="11" builtinId="3"/>
    <cellStyle name="Comma 2" xfId="4" xr:uid="{00000000-0005-0000-0000-000001000000}"/>
    <cellStyle name="Currency" xfId="9" builtinId="4"/>
    <cellStyle name="Currency 2" xfId="5" xr:uid="{00000000-0005-0000-0000-000003000000}"/>
    <cellStyle name="Currency 3" xfId="14" xr:uid="{C5C25909-4FFD-401A-B8C9-572EC1A6F31F}"/>
    <cellStyle name="Hyperlink" xfId="10" builtinId="8"/>
    <cellStyle name="Normal" xfId="0" builtinId="0"/>
    <cellStyle name="Normal 2" xfId="2" xr:uid="{00000000-0005-0000-0000-000006000000}"/>
    <cellStyle name="Normal 3" xfId="3" xr:uid="{00000000-0005-0000-0000-000007000000}"/>
    <cellStyle name="Normal 4" xfId="12" xr:uid="{6FE87379-6AB8-420C-9742-8D7BFE353BD8}"/>
    <cellStyle name="Normal 5" xfId="6" xr:uid="{00000000-0005-0000-0000-000008000000}"/>
    <cellStyle name="Normal_SHEET" xfId="1" xr:uid="{00000000-0005-0000-0000-000009000000}"/>
    <cellStyle name="Percent 2" xfId="8" xr:uid="{00000000-0005-0000-0000-00000A000000}"/>
    <cellStyle name="Percent 3" xfId="13" xr:uid="{F0B848AC-FFB7-4B87-8866-EA4303472C78}"/>
    <cellStyle name="Percent 3 2" xfId="7" xr:uid="{00000000-0005-0000-0000-00000B000000}"/>
  </cellStyles>
  <dxfs count="163">
    <dxf>
      <fill>
        <patternFill>
          <bgColor rgb="FFFDB5B5"/>
        </patternFill>
      </fill>
    </dxf>
    <dxf>
      <fill>
        <patternFill>
          <bgColor theme="5" tint="0.59996337778862885"/>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rgb="FFFDB5B5"/>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theme="9" tint="0.59996337778862885"/>
        </patternFill>
      </fill>
    </dxf>
    <dxf>
      <fill>
        <patternFill>
          <bgColor theme="4" tint="0.39994506668294322"/>
        </patternFill>
      </fill>
    </dxf>
    <dxf>
      <fill>
        <patternFill>
          <bgColor theme="5" tint="0.59996337778862885"/>
        </patternFill>
      </fill>
    </dxf>
    <dxf>
      <fill>
        <patternFill>
          <bgColor rgb="FFFF5050"/>
        </patternFill>
      </fill>
    </dxf>
    <dxf>
      <fill>
        <patternFill>
          <bgColor rgb="FFFF5050"/>
        </patternFill>
      </fill>
    </dxf>
    <dxf>
      <fill>
        <patternFill>
          <bgColor theme="5" tint="0.39994506668294322"/>
        </patternFill>
      </fill>
    </dxf>
    <dxf>
      <fill>
        <patternFill>
          <bgColor rgb="FFFF5050"/>
        </patternFill>
      </fill>
    </dxf>
    <dxf>
      <fill>
        <patternFill>
          <bgColor theme="5" tint="0.39994506668294322"/>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bgColor rgb="FFFF5050"/>
        </patternFill>
      </fill>
    </dxf>
    <dxf>
      <fill>
        <patternFill>
          <bgColor theme="5" tint="0.39994506668294322"/>
        </patternFill>
      </fill>
    </dxf>
    <dxf>
      <fill>
        <patternFill>
          <bgColor rgb="FFFF5050"/>
        </patternFill>
      </fill>
    </dxf>
    <dxf>
      <fill>
        <patternFill>
          <bgColor theme="5" tint="0.39994506668294322"/>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auto="1"/>
      </font>
      <fill>
        <patternFill>
          <bgColor theme="5" tint="0.59996337778862885"/>
        </patternFill>
      </fill>
    </dxf>
    <dxf>
      <font>
        <color auto="1"/>
      </font>
      <fill>
        <patternFill>
          <bgColor theme="5"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rgb="FFFF0000"/>
      </font>
    </dxf>
    <dxf>
      <fill>
        <patternFill patternType="gray125">
          <bgColor theme="0" tint="-0.24994659260841701"/>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rgb="FFFF0000"/>
      </font>
    </dxf>
    <dxf>
      <fill>
        <patternFill patternType="gray125">
          <bgColor theme="0" tint="-0.24994659260841701"/>
        </patternFill>
      </fill>
    </dxf>
    <dxf>
      <font>
        <color rgb="FFFF0000"/>
      </font>
    </dxf>
    <dxf>
      <fill>
        <patternFill patternType="gray125">
          <bgColor theme="0" tint="-0.24994659260841701"/>
        </patternFill>
      </fill>
    </dxf>
    <dxf>
      <fill>
        <patternFill>
          <bgColor theme="6" tint="0.59996337778862885"/>
        </patternFill>
      </fill>
    </dxf>
    <dxf>
      <fill>
        <patternFill>
          <bgColor theme="6" tint="0.39994506668294322"/>
        </patternFill>
      </fill>
    </dxf>
    <dxf>
      <font>
        <color auto="1"/>
      </font>
      <fill>
        <patternFill>
          <bgColor theme="5" tint="0.59996337778862885"/>
        </patternFill>
      </fill>
    </dxf>
    <dxf>
      <font>
        <color auto="1"/>
      </font>
      <fill>
        <patternFill>
          <bgColor theme="5" tint="0.39994506668294322"/>
        </patternFill>
      </fill>
    </dxf>
    <dxf>
      <fill>
        <patternFill>
          <bgColor rgb="FFFF5050"/>
        </patternFill>
      </fill>
    </dxf>
    <dxf>
      <fill>
        <patternFill>
          <bgColor theme="5" tint="0.39994506668294322"/>
        </patternFill>
      </fill>
    </dxf>
    <dxf>
      <fill>
        <patternFill patternType="gray125">
          <bgColor theme="0" tint="-0.24994659260841701"/>
        </patternFill>
      </fill>
    </dxf>
    <dxf>
      <fill>
        <patternFill patternType="gray125">
          <bgColor theme="0" tint="-0.24994659260841701"/>
        </patternFill>
      </fill>
    </dxf>
    <dxf>
      <fill>
        <patternFill>
          <bgColor rgb="FFFF5050"/>
        </patternFill>
      </fill>
    </dxf>
    <dxf>
      <fill>
        <patternFill>
          <bgColor theme="5"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auto="1"/>
      </font>
      <fill>
        <patternFill>
          <bgColor theme="5" tint="0.59996337778862885"/>
        </patternFill>
      </fill>
    </dxf>
    <dxf>
      <font>
        <color auto="1"/>
      </font>
      <fill>
        <patternFill>
          <bgColor theme="5" tint="0.39994506668294322"/>
        </patternFill>
      </fill>
    </dxf>
    <dxf>
      <fill>
        <patternFill>
          <bgColor theme="6" tint="0.59996337778862885"/>
        </patternFill>
      </fill>
    </dxf>
    <dxf>
      <fill>
        <patternFill>
          <bgColor theme="6" tint="0.39994506668294322"/>
        </patternFill>
      </fill>
    </dxf>
    <dxf>
      <fill>
        <patternFill patternType="gray125">
          <bgColor theme="0" tint="-0.24994659260841701"/>
        </patternFill>
      </fill>
    </dxf>
    <dxf>
      <font>
        <color rgb="FFFF0000"/>
      </font>
    </dxf>
    <dxf>
      <font>
        <color auto="1"/>
      </font>
      <fill>
        <patternFill>
          <bgColor theme="5" tint="0.59996337778862885"/>
        </patternFill>
      </fill>
    </dxf>
    <dxf>
      <font>
        <color auto="1"/>
      </font>
      <fill>
        <patternFill>
          <bgColor theme="5" tint="0.39994506668294322"/>
        </patternFill>
      </fill>
    </dxf>
    <dxf>
      <fill>
        <patternFill>
          <bgColor theme="6" tint="0.39994506668294322"/>
        </patternFill>
      </fill>
    </dxf>
    <dxf>
      <font>
        <color rgb="FFFF0000"/>
      </font>
    </dxf>
    <dxf>
      <fill>
        <patternFill patternType="gray125">
          <bgColor theme="0" tint="-0.24994659260841701"/>
        </patternFill>
      </fill>
    </dxf>
    <dxf>
      <font>
        <color auto="1"/>
      </font>
      <fill>
        <patternFill>
          <bgColor theme="5" tint="0.59996337778862885"/>
        </patternFill>
      </fill>
    </dxf>
    <dxf>
      <font>
        <color auto="1"/>
      </font>
      <fill>
        <patternFill>
          <bgColor theme="5" tint="0.39994506668294322"/>
        </patternFill>
      </fill>
    </dxf>
    <dxf>
      <fill>
        <patternFill>
          <bgColor theme="6" tint="0.59996337778862885"/>
        </patternFill>
      </fill>
    </dxf>
    <dxf>
      <fill>
        <patternFill>
          <bgColor theme="6" tint="0.39994506668294322"/>
        </patternFill>
      </fill>
    </dxf>
    <dxf>
      <font>
        <color rgb="FFFF0000"/>
      </font>
    </dxf>
    <dxf>
      <fill>
        <patternFill patternType="gray125">
          <bgColor theme="0" tint="-0.24994659260841701"/>
        </patternFill>
      </fill>
    </dxf>
    <dxf>
      <fill>
        <patternFill>
          <bgColor theme="6" tint="0.39994506668294322"/>
        </patternFill>
      </fill>
    </dxf>
    <dxf>
      <fill>
        <patternFill>
          <bgColor theme="6" tint="0.59996337778862885"/>
        </patternFill>
      </fill>
    </dxf>
    <dxf>
      <fill>
        <patternFill patternType="gray125">
          <bgColor theme="0" tint="-0.24994659260841701"/>
        </patternFill>
      </fill>
    </dxf>
    <dxf>
      <fill>
        <patternFill>
          <bgColor theme="6" tint="0.59996337778862885"/>
        </patternFill>
      </fill>
    </dxf>
    <dxf>
      <fill>
        <patternFill patternType="gray125">
          <bgColor theme="0" tint="-0.24994659260841701"/>
        </patternFill>
      </fill>
    </dxf>
    <dxf>
      <fill>
        <patternFill>
          <bgColor rgb="FFFF5050"/>
        </patternFill>
      </fill>
    </dxf>
    <dxf>
      <fill>
        <patternFill>
          <bgColor theme="5" tint="0.39994506668294322"/>
        </patternFill>
      </fill>
    </dxf>
    <dxf>
      <font>
        <color rgb="FFFF0000"/>
      </font>
    </dxf>
    <dxf>
      <font>
        <color rgb="FFFF0000"/>
      </font>
    </dxf>
    <dxf>
      <font>
        <color rgb="FFFF0000"/>
      </font>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auto="1"/>
      </font>
      <fill>
        <patternFill>
          <bgColor theme="5" tint="0.59996337778862885"/>
        </patternFill>
      </fill>
    </dxf>
    <dxf>
      <font>
        <color auto="1"/>
      </font>
      <fill>
        <patternFill>
          <bgColor theme="5" tint="0.39994506668294322"/>
        </patternFill>
      </fill>
    </dxf>
    <dxf>
      <fill>
        <patternFill>
          <bgColor theme="6" tint="0.59996337778862885"/>
        </patternFill>
      </fill>
    </dxf>
    <dxf>
      <fill>
        <patternFill>
          <bgColor theme="6" tint="0.39994506668294322"/>
        </patternFill>
      </fill>
    </dxf>
    <dxf>
      <font>
        <color rgb="FFFF0000"/>
      </font>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ont>
        <color theme="0"/>
      </font>
      <fill>
        <patternFill>
          <bgColor theme="5"/>
        </patternFill>
      </fill>
    </dxf>
    <dxf>
      <fill>
        <patternFill patternType="gray125">
          <bgColor theme="0" tint="-0.24994659260841701"/>
        </patternFill>
      </fill>
    </dxf>
    <dxf>
      <font>
        <color theme="0"/>
      </font>
      <fill>
        <patternFill>
          <bgColor theme="5"/>
        </patternFill>
      </fill>
    </dxf>
    <dxf>
      <fill>
        <patternFill patternType="gray125">
          <bgColor theme="0" tint="-0.24994659260841701"/>
        </patternFill>
      </fill>
    </dxf>
    <dxf>
      <fill>
        <patternFill patternType="lightTrellis">
          <bgColor theme="0" tint="-0.24994659260841701"/>
        </patternFill>
      </fill>
    </dxf>
    <dxf>
      <font>
        <color theme="0"/>
      </font>
      <fill>
        <patternFill>
          <bgColor theme="5"/>
        </patternFill>
      </fill>
    </dxf>
    <dxf>
      <fill>
        <patternFill patternType="gray125">
          <bgColor theme="0" tint="-0.24994659260841701"/>
        </patternFill>
      </fill>
    </dxf>
    <dxf>
      <fill>
        <patternFill>
          <bgColor rgb="FFFF5050"/>
        </patternFill>
      </fill>
    </dxf>
    <dxf>
      <fill>
        <patternFill>
          <bgColor theme="5" tint="0.39994506668294322"/>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ill>
        <patternFill patternType="gray125">
          <bgColor theme="0" tint="-0.24994659260841701"/>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rgb="FFFF0000"/>
      </font>
    </dxf>
    <dxf>
      <fill>
        <patternFill patternType="gray125">
          <bgColor theme="0" tint="-0.24994659260841701"/>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rgb="FFFF0000"/>
      </font>
    </dxf>
    <dxf>
      <fill>
        <patternFill patternType="lightGray">
          <fgColor auto="1"/>
          <bgColor theme="0" tint="-0.24994659260841701"/>
        </patternFill>
      </fill>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ont>
        <color rgb="FFFF0000"/>
      </font>
    </dxf>
    <dxf>
      <font>
        <color rgb="FFFF0000"/>
      </font>
    </dxf>
    <dxf>
      <fill>
        <patternFill>
          <bgColor theme="6" tint="0.39994506668294322"/>
        </patternFill>
      </fill>
    </dxf>
    <dxf>
      <fill>
        <patternFill>
          <bgColor theme="6" tint="0.59996337778862885"/>
        </patternFill>
      </fill>
    </dxf>
    <dxf>
      <font>
        <color auto="1"/>
      </font>
      <fill>
        <patternFill>
          <bgColor theme="5" tint="0.59996337778862885"/>
        </patternFill>
      </fill>
    </dxf>
    <dxf>
      <font>
        <color auto="1"/>
      </font>
      <fill>
        <patternFill>
          <bgColor theme="5" tint="0.39994506668294322"/>
        </patternFill>
      </fill>
    </dxf>
    <dxf>
      <fill>
        <patternFill patternType="gray125">
          <bgColor theme="0" tint="-0.24994659260841701"/>
        </patternFill>
      </fill>
    </dxf>
    <dxf>
      <fill>
        <patternFill patternType="lightGray">
          <fgColor auto="1"/>
          <bgColor theme="0" tint="-0.24994659260841701"/>
        </patternFill>
      </fill>
    </dxf>
    <dxf>
      <fill>
        <patternFill patternType="lightGray">
          <fgColor auto="1"/>
          <bgColor theme="0" tint="-0.24994659260841701"/>
        </patternFill>
      </fill>
    </dxf>
    <dxf>
      <fill>
        <patternFill>
          <bgColor theme="5" tint="0.59996337778862885"/>
        </patternFill>
      </fill>
    </dxf>
  </dxfs>
  <tableStyles count="0" defaultTableStyle="TableStyleMedium9" defaultPivotStyle="PivotStyleLight16"/>
  <colors>
    <mruColors>
      <color rgb="FF8C528E"/>
      <color rgb="FF360B41"/>
      <color rgb="FF7DA063"/>
      <color rgb="FF490F59"/>
      <color rgb="FF531165"/>
      <color rgb="FFDFE5AF"/>
      <color rgb="FF9EB88A"/>
      <color rgb="FFF6F8E8"/>
      <color rgb="FFEFF2D7"/>
      <color rgb="FFBE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5015132\AppData\Local\Microsoft\Windows\INetCache\Content.Outlook\AE9LYBMT\Konical%20Minolta%207%25.xlsx" TargetMode="External"/><Relationship Id="rId1" Type="http://schemas.openxmlformats.org/officeDocument/2006/relationships/externalLinkPath" Target="file:///C:\Users\05015132\AppData\Local\Microsoft\Windows\INetCache\Content.Outlook\AE9LYBMT\Konical%20Minolta%207%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CUA\10.%20CUAs%20Current\CUAPCS2018%20-%20Printing%20and%20Copying%20Machines%20and%20Solutions\Management\1%20-%20Product%20Catalogues\Panel1-2\1%20-%20Current_Production\Updates\cuapcs2018-product-catalogue-panel-1-2-17%20August%202023.xlsx" TargetMode="External"/><Relationship Id="rId1" Type="http://schemas.openxmlformats.org/officeDocument/2006/relationships/externalLinkPath" Target="Updates/cuapcs2018-product-catalogue-panel-1-2-17%20Augus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
          <cell r="C2">
            <v>2609.75</v>
          </cell>
        </row>
        <row r="3">
          <cell r="C3">
            <v>3335.75</v>
          </cell>
        </row>
        <row r="4">
          <cell r="C4">
            <v>3533.75</v>
          </cell>
        </row>
        <row r="5">
          <cell r="C5">
            <v>4193.75</v>
          </cell>
        </row>
        <row r="6">
          <cell r="C6">
            <v>2035</v>
          </cell>
        </row>
        <row r="7">
          <cell r="C7">
            <v>5183.75</v>
          </cell>
        </row>
        <row r="8">
          <cell r="C8">
            <v>6063.75</v>
          </cell>
        </row>
        <row r="9">
          <cell r="C9">
            <v>7933.75</v>
          </cell>
        </row>
        <row r="10">
          <cell r="C10">
            <v>10780</v>
          </cell>
        </row>
        <row r="11">
          <cell r="C11">
            <v>2345.75</v>
          </cell>
        </row>
        <row r="12">
          <cell r="C12">
            <v>2928.75</v>
          </cell>
        </row>
        <row r="13">
          <cell r="C13">
            <v>3148.75</v>
          </cell>
        </row>
        <row r="14">
          <cell r="C14">
            <v>1485</v>
          </cell>
        </row>
        <row r="15">
          <cell r="C15">
            <v>3478.8</v>
          </cell>
        </row>
        <row r="16">
          <cell r="C16">
            <v>4248.75</v>
          </cell>
        </row>
        <row r="17">
          <cell r="C17">
            <v>5458.75</v>
          </cell>
        </row>
        <row r="18">
          <cell r="C18">
            <v>6820</v>
          </cell>
        </row>
        <row r="19">
          <cell r="C19">
            <v>11220</v>
          </cell>
        </row>
        <row r="20">
          <cell r="C20">
            <v>632.5</v>
          </cell>
        </row>
        <row r="21">
          <cell r="C21">
            <v>374</v>
          </cell>
        </row>
        <row r="22">
          <cell r="C22">
            <v>1310.0999999999999</v>
          </cell>
        </row>
        <row r="23">
          <cell r="C23">
            <v>1584.0015840000001</v>
          </cell>
        </row>
        <row r="127">
          <cell r="C127">
            <v>88</v>
          </cell>
        </row>
        <row r="129">
          <cell r="C129">
            <v>111.10000000000001</v>
          </cell>
        </row>
        <row r="130">
          <cell r="C130">
            <v>532.95000000000005</v>
          </cell>
        </row>
        <row r="131">
          <cell r="C131">
            <v>532.95000000000005</v>
          </cell>
        </row>
        <row r="132">
          <cell r="C132">
            <v>606.1</v>
          </cell>
        </row>
        <row r="133">
          <cell r="C133">
            <v>630.85</v>
          </cell>
        </row>
        <row r="134">
          <cell r="C134">
            <v>757.90000000000009</v>
          </cell>
        </row>
        <row r="135">
          <cell r="C135">
            <v>1223.75</v>
          </cell>
        </row>
        <row r="136">
          <cell r="C136">
            <v>568.15</v>
          </cell>
        </row>
        <row r="137">
          <cell r="C137">
            <v>443.3</v>
          </cell>
        </row>
        <row r="138">
          <cell r="C138">
            <v>583.55000000000007</v>
          </cell>
        </row>
        <row r="139">
          <cell r="C139">
            <v>101.2</v>
          </cell>
        </row>
        <row r="140">
          <cell r="C140">
            <v>165.55</v>
          </cell>
        </row>
        <row r="141">
          <cell r="C141">
            <v>233.20000000000002</v>
          </cell>
        </row>
        <row r="142">
          <cell r="C142">
            <v>62.150000000000006</v>
          </cell>
        </row>
        <row r="143">
          <cell r="C143">
            <v>73.150000000000006</v>
          </cell>
        </row>
        <row r="144">
          <cell r="C144">
            <v>111.10000000000001</v>
          </cell>
        </row>
        <row r="145">
          <cell r="C145">
            <v>73.150000000000006</v>
          </cell>
        </row>
        <row r="146">
          <cell r="C146">
            <v>111.1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Lowest TCO"/>
      <sheetName val="Min_Discounts"/>
      <sheetName val="MFD-Colour_List"/>
      <sheetName val="MFD-Colour_Upg"/>
      <sheetName val="MFD-BW_List"/>
      <sheetName val="MFD-BW_Upg"/>
      <sheetName val="SFP-Colour_List"/>
      <sheetName val="SFP-Colour_Upg"/>
      <sheetName val="SFP-BW_List"/>
      <sheetName val="SFP-BW_Upg"/>
      <sheetName val="Prof_Services"/>
      <sheetName val="Software"/>
      <sheetName val="Lists"/>
      <sheetName val="tco_data"/>
      <sheetName val="Data"/>
      <sheetName val="Change_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7">
          <cell r="AU47">
            <v>410802</v>
          </cell>
          <cell r="AV47" t="str">
            <v>3 x 5,000 Staples</v>
          </cell>
          <cell r="AW47">
            <v>75.900000000000006</v>
          </cell>
          <cell r="AX47" t="str">
            <v>NOt Applicable</v>
          </cell>
          <cell r="AY47" t="str">
            <v>N/A</v>
          </cell>
          <cell r="AZ47">
            <v>0</v>
          </cell>
          <cell r="BA47">
            <v>0</v>
          </cell>
          <cell r="BB47">
            <v>1163.9100000000001</v>
          </cell>
          <cell r="BC47">
            <v>1163.9100000000001</v>
          </cell>
          <cell r="BD47">
            <v>1163.9100000000001</v>
          </cell>
          <cell r="BE47">
            <v>1013.2100000000002</v>
          </cell>
          <cell r="BF47">
            <v>1933.91</v>
          </cell>
          <cell r="BG47">
            <v>1163.9100000000001</v>
          </cell>
          <cell r="BH47">
            <v>2043.91</v>
          </cell>
          <cell r="BI47">
            <v>1108.9100000000001</v>
          </cell>
          <cell r="BJ47">
            <v>1163.9100000000001</v>
          </cell>
          <cell r="BK47">
            <v>1108.9100000000001</v>
          </cell>
          <cell r="BL47" t="str">
            <v>SRA3, A3, A4, A5, A6, B4, B5, B6</v>
          </cell>
          <cell r="BM47" t="str">
            <v>Full colour: 7.1 seconds B/W: 4.6 seconds</v>
          </cell>
          <cell r="BN47" t="str">
            <v>25 seconds</v>
          </cell>
          <cell r="BO47">
            <v>20000</v>
          </cell>
          <cell r="BP47">
            <v>1200000</v>
          </cell>
          <cell r="BQ47" t="str">
            <v>Standby 19.5 dB</v>
          </cell>
          <cell r="BR47" t="str">
            <v xml:space="preserve">1,200 x 1,200 dpi </v>
          </cell>
          <cell r="BS47" t="str">
            <v xml:space="preserve">600 dpi </v>
          </cell>
          <cell r="BT47" t="str">
            <v>YES</v>
          </cell>
          <cell r="BU47" t="str">
            <v>SRA3, A3, A4, A5, A6, B4, B5, B6</v>
          </cell>
          <cell r="BV47" t="str">
            <v>60 - 300 g/m2</v>
          </cell>
          <cell r="BW47" t="str">
            <v>Standard 1,200 sheets</v>
          </cell>
          <cell r="BX47" t="str">
            <v xml:space="preserve"> Optional up to 4,700 Sheets</v>
          </cell>
          <cell r="BY47">
            <v>100</v>
          </cell>
          <cell r="BZ47" t="str">
            <v>100 Sheets - upgradable to 220 sheets</v>
          </cell>
          <cell r="CA47" t="str">
            <v>YES</v>
          </cell>
          <cell r="CB47" t="str">
            <v>YES</v>
          </cell>
          <cell r="CC47" t="str">
            <v>YES</v>
          </cell>
          <cell r="CD47" t="str">
            <v>YES</v>
          </cell>
          <cell r="CE47" t="str">
            <v>YES</v>
          </cell>
          <cell r="CF47" t="str">
            <v>Maximum: 1,700 W, Ready mode: Less than 47.3 W, Sleep mode: Less than 0.93 W, TEC (Typical Electricity Consumption): 1.3 kWh</v>
          </cell>
          <cell r="CG47" t="str">
            <v>60 Months under Cost Per Print Maintenance Agreement</v>
          </cell>
          <cell r="CH47" t="str">
            <v>Standard : 2GB and 250GB HDD with Encryption and Data
Overwrite Security</v>
          </cell>
          <cell r="CI47" t="str">
            <v>YES</v>
          </cell>
          <cell r="CJ47" t="str">
            <v>YES</v>
          </cell>
          <cell r="CK47" t="str">
            <v>FTP/SMB - 2,000 Folders, Email 2,000 addresses</v>
          </cell>
          <cell r="CL47" t="str">
            <v>YES</v>
          </cell>
          <cell r="CM47" t="str">
            <v>YES</v>
          </cell>
          <cell r="CN47" t="str">
            <v>Maximum: 1,200 dpi</v>
          </cell>
          <cell r="CO47" t="str">
            <v>Standard : SD slot, USB Host Interface,
 Ethernet 10 base-T/100 base-TX/
 1000 Base-T                                Option : Wireless LAN (IEEE 802.11a/b/g/n),
 Bluetooth, USB Server for Second Network
 Interface, Bidirectional IEEE1284/ECP,
 USB 2.0 (Type B)</v>
          </cell>
          <cell r="CP47" t="str">
            <v>TCP/IP (IPv4, IPv6)</v>
          </cell>
          <cell r="CQ47" t="str">
            <v>Mobile printing capability: Apple AirPrintTM
Windows® environments: Windows® Vista / 7 / 8.1 / 10,
Windows® Server 2008 / 2008R2 / 2012 / 2012R2
Mac OS environments: Macintosh OS X Native V10.9 or later
UNIX environments: UNIX Sun® Solaris, HP-UX, SCO OpenServer,
RedHat® Linux Enterprise, IBM® AIX, Citrix XenDesktop
7.0/7.1 Citrix XenApp 6.5/7.5
SAP® R/3® environments: SAP® R/3®, SAP® S/4®</v>
          </cell>
          <cell r="CR47" t="str">
            <v>Standard : PCL5c, PCL6, PostScript® 3™ Languages
Emulation, PDF Direct Print Emulation
Option : Adobe® PostScript® 3™, XPS, PictBridge
 Adobe PDF Direct Print</v>
          </cell>
          <cell r="CS47" t="str">
            <v>NO</v>
          </cell>
          <cell r="CT47" t="str">
            <v>Circuit: PSTN, PBX
Compatibility: ITU-T (CCITT) G3, Additional G3 Option
Resolution: Standard : 8 x 3.85 line/mm, 200 x 100 dpi,
 8 x 7.7 line/mm, 200 x 200 dpi
Option : 8 x 15.4 line/mm, 16 x 15.4 line/mm,
 400 x 400 dpi (with optional SAF Memory)
Transmission speed: G3 : 2 second(s) (200 x 100 dpi, JBIG),
 3 seconds(s) (200 x 100 dpi, MMR)
Modem speed: Maximum : 33.6 Kbps
Memory capacity: Standard : 4 MB
Maximum : 64 MB</v>
          </cell>
        </row>
      </sheetData>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hyperlink" Target="file://\\dtf.wa.gov.au\gp\WorkGrp\CUA\10.%20CUAs%20Current\CUAPCS2018%20-%20Printing%20and%20Copying%20Machines%20and%20Solutions\Management\1%20-%20Product%20Catalogues\AppData\Local\Microsoft\Windows\INetCache\AppData\Local\Microsoft\Windows\INetCache\Content.Outlook\CUAPCS2018_Panel1-2_Catalogue_User_Guide.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pageSetUpPr fitToPage="1"/>
  </sheetPr>
  <dimension ref="A1:N29"/>
  <sheetViews>
    <sheetView tabSelected="1" zoomScaleNormal="100" workbookViewId="0">
      <selection activeCell="D3" sqref="D3:E3"/>
    </sheetView>
  </sheetViews>
  <sheetFormatPr defaultColWidth="9.140625" defaultRowHeight="12.75" zeroHeight="1" x14ac:dyDescent="0.2"/>
  <cols>
    <col min="1" max="1" width="5.140625" style="1" customWidth="1"/>
    <col min="2" max="3" width="19.85546875" style="1" customWidth="1"/>
    <col min="4" max="10" width="13.28515625" style="1" customWidth="1"/>
    <col min="11" max="11" width="13.28515625" style="3" customWidth="1"/>
    <col min="12" max="12" width="13.28515625" style="1" customWidth="1"/>
    <col min="13" max="13" width="13.28515625" style="3" customWidth="1"/>
    <col min="14" max="14" width="13.28515625" style="1" customWidth="1"/>
    <col min="15" max="16384" width="9.140625" style="1"/>
  </cols>
  <sheetData>
    <row r="1" spans="1:14" ht="24.95" customHeight="1" x14ac:dyDescent="0.25">
      <c r="A1" s="328" t="s">
        <v>1251</v>
      </c>
      <c r="B1" s="329"/>
      <c r="C1" s="329"/>
      <c r="D1" s="329"/>
      <c r="E1" s="329"/>
      <c r="F1" s="329"/>
      <c r="G1" s="329"/>
      <c r="H1" s="329"/>
      <c r="I1" s="329"/>
      <c r="J1" s="329"/>
      <c r="K1" s="329"/>
      <c r="L1" s="329"/>
      <c r="M1" s="330"/>
      <c r="N1" s="331"/>
    </row>
    <row r="2" spans="1:14" ht="20.100000000000001" customHeight="1" x14ac:dyDescent="0.2">
      <c r="A2" s="347" t="s">
        <v>1708</v>
      </c>
      <c r="B2" s="348"/>
      <c r="C2" s="348"/>
      <c r="D2" s="348"/>
      <c r="E2" s="348"/>
      <c r="F2" s="348"/>
      <c r="G2" s="348"/>
      <c r="H2" s="348"/>
      <c r="I2" s="348"/>
      <c r="J2" s="348"/>
      <c r="K2" s="348"/>
      <c r="L2" s="348"/>
      <c r="M2" s="349"/>
      <c r="N2" s="350"/>
    </row>
    <row r="3" spans="1:14" ht="20.100000000000001" customHeight="1" x14ac:dyDescent="0.2">
      <c r="A3" s="341" t="s">
        <v>1818</v>
      </c>
      <c r="B3" s="342"/>
      <c r="C3" s="242">
        <v>45553</v>
      </c>
      <c r="D3" s="339" t="s">
        <v>2430</v>
      </c>
      <c r="E3" s="340"/>
    </row>
    <row r="4" spans="1:14" x14ac:dyDescent="0.2">
      <c r="A4" s="2"/>
      <c r="B4" s="2"/>
      <c r="C4" s="2"/>
      <c r="D4" s="2"/>
      <c r="E4" s="2"/>
      <c r="F4" s="2"/>
      <c r="G4" s="2"/>
    </row>
    <row r="5" spans="1:14" ht="20.100000000000001" customHeight="1" thickBot="1" x14ac:dyDescent="0.25">
      <c r="A5" s="2"/>
      <c r="B5" s="58" t="s">
        <v>6</v>
      </c>
      <c r="C5" s="336" t="s">
        <v>5</v>
      </c>
      <c r="D5" s="337"/>
      <c r="E5" s="337"/>
      <c r="F5" s="337"/>
      <c r="G5" s="337"/>
      <c r="H5" s="336" t="s">
        <v>6</v>
      </c>
      <c r="I5" s="338"/>
      <c r="J5" s="336" t="s">
        <v>5</v>
      </c>
      <c r="K5" s="337"/>
      <c r="L5" s="337"/>
      <c r="M5" s="337"/>
      <c r="N5" s="337"/>
    </row>
    <row r="6" spans="1:14" ht="27.6" customHeight="1" x14ac:dyDescent="0.2">
      <c r="A6" s="2"/>
      <c r="B6" s="197" t="s">
        <v>1736</v>
      </c>
      <c r="C6" s="322" t="s">
        <v>1832</v>
      </c>
      <c r="D6" s="323"/>
      <c r="E6" s="323"/>
      <c r="F6" s="323"/>
      <c r="G6" s="324"/>
      <c r="H6" s="317" t="s">
        <v>940</v>
      </c>
      <c r="I6" s="318"/>
      <c r="J6" s="319" t="s">
        <v>1819</v>
      </c>
      <c r="K6" s="320"/>
      <c r="L6" s="320"/>
      <c r="M6" s="320"/>
      <c r="N6" s="321"/>
    </row>
    <row r="7" spans="1:14" ht="27.6" customHeight="1" x14ac:dyDescent="0.2">
      <c r="A7" s="2"/>
      <c r="B7" s="173" t="s">
        <v>1694</v>
      </c>
      <c r="C7" s="325" t="s">
        <v>1686</v>
      </c>
      <c r="D7" s="326"/>
      <c r="E7" s="326"/>
      <c r="F7" s="326"/>
      <c r="G7" s="327"/>
      <c r="H7" s="332" t="s">
        <v>1695</v>
      </c>
      <c r="I7" s="333"/>
      <c r="J7" s="319" t="s">
        <v>1688</v>
      </c>
      <c r="K7" s="320"/>
      <c r="L7" s="320"/>
      <c r="M7" s="320"/>
      <c r="N7" s="321"/>
    </row>
    <row r="8" spans="1:14" ht="27.6" customHeight="1" x14ac:dyDescent="0.2">
      <c r="A8" s="2"/>
      <c r="B8" s="174" t="s">
        <v>1696</v>
      </c>
      <c r="C8" s="325" t="s">
        <v>1687</v>
      </c>
      <c r="D8" s="326"/>
      <c r="E8" s="326"/>
      <c r="F8" s="326"/>
      <c r="G8" s="327"/>
      <c r="H8" s="334" t="s">
        <v>1697</v>
      </c>
      <c r="I8" s="335"/>
      <c r="J8" s="319" t="s">
        <v>1689</v>
      </c>
      <c r="K8" s="320"/>
      <c r="L8" s="320"/>
      <c r="M8" s="320"/>
      <c r="N8" s="321"/>
    </row>
    <row r="9" spans="1:14" ht="27.6" customHeight="1" x14ac:dyDescent="0.2">
      <c r="A9" s="2"/>
      <c r="B9" s="173" t="s">
        <v>1698</v>
      </c>
      <c r="C9" s="325" t="s">
        <v>1699</v>
      </c>
      <c r="D9" s="326"/>
      <c r="E9" s="326"/>
      <c r="F9" s="326"/>
      <c r="G9" s="327"/>
      <c r="H9" s="332" t="s">
        <v>1701</v>
      </c>
      <c r="I9" s="333"/>
      <c r="J9" s="319" t="s">
        <v>1700</v>
      </c>
      <c r="K9" s="320"/>
      <c r="L9" s="320"/>
      <c r="M9" s="320"/>
      <c r="N9" s="321"/>
    </row>
    <row r="10" spans="1:14" ht="30" customHeight="1" x14ac:dyDescent="0.2">
      <c r="A10" s="2"/>
      <c r="B10" s="174" t="s">
        <v>1704</v>
      </c>
      <c r="C10" s="325" t="s">
        <v>1699</v>
      </c>
      <c r="D10" s="326"/>
      <c r="E10" s="326"/>
      <c r="F10" s="326"/>
      <c r="G10" s="327"/>
      <c r="H10" s="334" t="s">
        <v>1705</v>
      </c>
      <c r="I10" s="335"/>
      <c r="J10" s="319" t="s">
        <v>1700</v>
      </c>
      <c r="K10" s="320"/>
      <c r="L10" s="320"/>
      <c r="M10" s="320"/>
      <c r="N10" s="321"/>
    </row>
    <row r="11" spans="1:14" ht="30" customHeight="1" thickBot="1" x14ac:dyDescent="0.25">
      <c r="A11" s="2"/>
      <c r="B11" s="191" t="s">
        <v>984</v>
      </c>
      <c r="C11" s="351" t="s">
        <v>1158</v>
      </c>
      <c r="D11" s="352"/>
      <c r="E11" s="352"/>
      <c r="F11" s="352"/>
      <c r="G11" s="355"/>
      <c r="H11" s="356" t="s">
        <v>1246</v>
      </c>
      <c r="I11" s="357"/>
      <c r="J11" s="351" t="s">
        <v>1247</v>
      </c>
      <c r="K11" s="352"/>
      <c r="L11" s="352"/>
      <c r="M11" s="352"/>
      <c r="N11" s="353"/>
    </row>
    <row r="12" spans="1:14" x14ac:dyDescent="0.2">
      <c r="A12" s="2"/>
      <c r="B12" s="2"/>
      <c r="C12" s="2"/>
      <c r="D12" s="2"/>
      <c r="E12" s="2"/>
      <c r="F12" s="2"/>
      <c r="G12" s="2"/>
    </row>
    <row r="13" spans="1:14" ht="24" customHeight="1" x14ac:dyDescent="0.2">
      <c r="A13" s="2"/>
      <c r="B13" s="345" t="s">
        <v>1682</v>
      </c>
      <c r="C13" s="363"/>
      <c r="D13" s="363"/>
      <c r="E13" s="363"/>
      <c r="F13" s="363"/>
      <c r="G13" s="363"/>
      <c r="H13" s="363"/>
      <c r="I13" s="363"/>
      <c r="J13" s="363"/>
      <c r="K13" s="363"/>
      <c r="L13" s="363"/>
      <c r="M13" s="364"/>
      <c r="N13" s="364"/>
    </row>
    <row r="14" spans="1:14" ht="38.25" customHeight="1" x14ac:dyDescent="0.2">
      <c r="A14" s="2"/>
      <c r="B14" s="345" t="s">
        <v>22</v>
      </c>
      <c r="C14" s="345" t="s">
        <v>24</v>
      </c>
      <c r="D14" s="354" t="s">
        <v>2013</v>
      </c>
      <c r="E14" s="354"/>
      <c r="F14" s="354" t="s">
        <v>10</v>
      </c>
      <c r="G14" s="354"/>
      <c r="H14" s="354" t="s">
        <v>7</v>
      </c>
      <c r="I14" s="354"/>
      <c r="J14" s="354" t="s">
        <v>8</v>
      </c>
      <c r="K14" s="354"/>
      <c r="L14" s="345" t="s">
        <v>1816</v>
      </c>
      <c r="M14" s="345" t="s">
        <v>1817</v>
      </c>
      <c r="N14" s="345" t="s">
        <v>36</v>
      </c>
    </row>
    <row r="15" spans="1:14" ht="30" customHeight="1" x14ac:dyDescent="0.2">
      <c r="A15" s="2"/>
      <c r="B15" s="345" t="s">
        <v>22</v>
      </c>
      <c r="C15" s="345"/>
      <c r="D15" s="9" t="s">
        <v>402</v>
      </c>
      <c r="E15" s="194" t="s">
        <v>434</v>
      </c>
      <c r="F15" s="9" t="s">
        <v>402</v>
      </c>
      <c r="G15" s="194" t="s">
        <v>434</v>
      </c>
      <c r="H15" s="9" t="s">
        <v>402</v>
      </c>
      <c r="I15" s="194" t="s">
        <v>434</v>
      </c>
      <c r="J15" s="9" t="s">
        <v>402</v>
      </c>
      <c r="K15" s="194" t="s">
        <v>434</v>
      </c>
      <c r="L15" s="346"/>
      <c r="M15" s="346"/>
      <c r="N15" s="346"/>
    </row>
    <row r="16" spans="1:14" ht="20.100000000000001" customHeight="1" x14ac:dyDescent="0.2">
      <c r="A16" s="2"/>
      <c r="B16" s="6" t="s">
        <v>11</v>
      </c>
      <c r="C16" s="6" t="s">
        <v>25</v>
      </c>
      <c r="D16" s="18">
        <f>COUNTIF(Data!$CY:$CY,D$15&amp;"_FBI_"&amp;LEFT($B16,1)&amp;"*"&amp;"Y")</f>
        <v>2</v>
      </c>
      <c r="E16" s="18">
        <f>COUNTIF(Data!$CY:$CY,E$15&amp;"_FBI_"&amp;LEFT($B16,1)&amp;"*"&amp;"Y")</f>
        <v>1</v>
      </c>
      <c r="F16" s="18">
        <f>COUNTIF(Data!$CY:$CY,F$15&amp;"_"&amp;LEFT(F$14,2)&amp;"_"&amp;LEFT($B16,1)&amp;"*"&amp;"Y")</f>
        <v>2</v>
      </c>
      <c r="G16" s="18">
        <f>COUNTIF(Data!$CY:$CY,G$15&amp;"_"&amp;LEFT(F$14,2)&amp;"_"&amp;LEFT($B16,1)&amp;"*"&amp;"Y")</f>
        <v>1</v>
      </c>
      <c r="H16" s="18">
        <f>COUNTIF(Data!$CY:$CY,H$15&amp;"_"&amp;LEFT(H$14,2)&amp;"_"&amp;LEFT($B16,1)&amp;"*"&amp;"Y")</f>
        <v>2</v>
      </c>
      <c r="I16" s="18">
        <f>COUNTIF(Data!$CY:$CY,I$15&amp;"_"&amp;LEFT(H$14,2)&amp;"_"&amp;LEFT($B16,1)&amp;"*"&amp;"Y")</f>
        <v>1</v>
      </c>
      <c r="J16" s="18">
        <f>COUNTIF(Data!$CY:$CY,J$15&amp;"_"&amp;LEFT(J$14,2)&amp;"_"&amp;LEFT($B16,1)&amp;"*"&amp;"Y")</f>
        <v>2</v>
      </c>
      <c r="K16" s="18">
        <f>COUNTIF(Data!$CY:$CY,K$15&amp;"_"&amp;LEFT(J$14,2)&amp;"_"&amp;LEFT($B16,1)&amp;"*"&amp;"Y")</f>
        <v>1</v>
      </c>
      <c r="L16" s="19">
        <f>D16+F16+H16+J16</f>
        <v>8</v>
      </c>
      <c r="M16" s="19">
        <f>E16+G16+I16+K16</f>
        <v>4</v>
      </c>
      <c r="N16" s="19">
        <f>SUM(D16:K16)</f>
        <v>12</v>
      </c>
    </row>
    <row r="17" spans="1:14" ht="20.100000000000001" customHeight="1" x14ac:dyDescent="0.2">
      <c r="A17" s="2"/>
      <c r="B17" s="20" t="s">
        <v>12</v>
      </c>
      <c r="C17" s="20" t="s">
        <v>26</v>
      </c>
      <c r="D17" s="21">
        <f>COUNTIF(Data!$CY:$CY,D$15&amp;"_FBI_"&amp;LEFT($B17,1)&amp;"*"&amp;"Y")</f>
        <v>4</v>
      </c>
      <c r="E17" s="21">
        <f>COUNTIF(Data!$CY:$CY,E$15&amp;"_FBI_"&amp;LEFT($B17,1)&amp;"*"&amp;"Y")</f>
        <v>2</v>
      </c>
      <c r="F17" s="21">
        <f>COUNTIF(Data!$CY:$CY,F$15&amp;"_"&amp;LEFT(F$14,2)&amp;"_"&amp;LEFT($B17,1)&amp;"*"&amp;"Y")</f>
        <v>4</v>
      </c>
      <c r="G17" s="21">
        <f>COUNTIF(Data!$CY:$CY,G$15&amp;"_"&amp;LEFT(F$14,2)&amp;"_"&amp;LEFT($B17,1)&amp;"*"&amp;"Y")</f>
        <v>2</v>
      </c>
      <c r="H17" s="21">
        <f>COUNTIF(Data!$CY:$CY,H$15&amp;"_"&amp;LEFT(H$14,2)&amp;"_"&amp;LEFT($B17,1)&amp;"*"&amp;"Y")</f>
        <v>4</v>
      </c>
      <c r="I17" s="21">
        <f>COUNTIF(Data!$CY:$CY,I$15&amp;"_"&amp;LEFT(H$14,2)&amp;"_"&amp;LEFT($B17,1)&amp;"*"&amp;"Y")</f>
        <v>2</v>
      </c>
      <c r="J17" s="21">
        <f>COUNTIF(Data!$CY:$CY,J$15&amp;"_"&amp;LEFT(J$14,2)&amp;"_"&amp;LEFT($B17,1)&amp;"*"&amp;"Y")</f>
        <v>3</v>
      </c>
      <c r="K17" s="21">
        <f>COUNTIF(Data!$CY:$CY,K$15&amp;"_"&amp;LEFT(J$14,2)&amp;"_"&amp;LEFT($B17,1)&amp;"*"&amp;"Y")</f>
        <v>2</v>
      </c>
      <c r="L17" s="22">
        <f t="shared" ref="L17:L19" si="0">D17+F17+H17+J17</f>
        <v>15</v>
      </c>
      <c r="M17" s="22">
        <f t="shared" ref="M17:M19" si="1">E17+G17+I17+K17</f>
        <v>8</v>
      </c>
      <c r="N17" s="22">
        <f t="shared" ref="N17:N19" si="2">SUM(D17:K17)</f>
        <v>23</v>
      </c>
    </row>
    <row r="18" spans="1:14" ht="20.100000000000001" customHeight="1" x14ac:dyDescent="0.2">
      <c r="A18" s="2"/>
      <c r="B18" s="6" t="s">
        <v>13</v>
      </c>
      <c r="C18" s="6" t="s">
        <v>27</v>
      </c>
      <c r="D18" s="18">
        <f>COUNTIF(Data!$CY:$CY,D$15&amp;"_FBI_"&amp;LEFT($B18,1)&amp;"*"&amp;"Y")</f>
        <v>3</v>
      </c>
      <c r="E18" s="18">
        <f>COUNTIF(Data!$CY:$CY,E$15&amp;"_FBI_"&amp;LEFT($B18,1)&amp;"*"&amp;"Y")</f>
        <v>3</v>
      </c>
      <c r="F18" s="18">
        <f>COUNTIF(Data!$CY:$CY,F$15&amp;"_"&amp;LEFT(F$14,2)&amp;"_"&amp;LEFT($B18,1)&amp;"*"&amp;"Y")</f>
        <v>3</v>
      </c>
      <c r="G18" s="18">
        <f>COUNTIF(Data!$CY:$CY,G$15&amp;"_"&amp;LEFT(F$14,2)&amp;"_"&amp;LEFT($B18,1)&amp;"*"&amp;"Y")</f>
        <v>3</v>
      </c>
      <c r="H18" s="18">
        <f>COUNTIF(Data!$CY:$CY,H$15&amp;"_"&amp;LEFT(H$14,2)&amp;"_"&amp;LEFT($B18,1)&amp;"*"&amp;"Y")</f>
        <v>3</v>
      </c>
      <c r="I18" s="18">
        <f>COUNTIF(Data!$CY:$CY,I$15&amp;"_"&amp;LEFT(H$14,2)&amp;"_"&amp;LEFT($B18,1)&amp;"*"&amp;"Y")</f>
        <v>3</v>
      </c>
      <c r="J18" s="18">
        <f>COUNTIF(Data!$CY:$CY,J$15&amp;"_"&amp;LEFT(J$14,2)&amp;"_"&amp;LEFT($B18,1)&amp;"*"&amp;"Y")</f>
        <v>2</v>
      </c>
      <c r="K18" s="18">
        <f>COUNTIF(Data!$CY:$CY,K$15&amp;"_"&amp;LEFT(J$14,2)&amp;"_"&amp;LEFT($B18,1)&amp;"*"&amp;"Y")</f>
        <v>3</v>
      </c>
      <c r="L18" s="19">
        <f t="shared" si="0"/>
        <v>11</v>
      </c>
      <c r="M18" s="19">
        <f t="shared" si="1"/>
        <v>12</v>
      </c>
      <c r="N18" s="19">
        <f t="shared" si="2"/>
        <v>23</v>
      </c>
    </row>
    <row r="19" spans="1:14" ht="20.100000000000001" customHeight="1" x14ac:dyDescent="0.2">
      <c r="A19" s="2"/>
      <c r="B19" s="20" t="s">
        <v>14</v>
      </c>
      <c r="C19" s="20" t="s">
        <v>28</v>
      </c>
      <c r="D19" s="21">
        <f>COUNTIF(Data!$CY:$CY,D$15&amp;"_FBI_"&amp;LEFT($B19,1)&amp;"*"&amp;"Y")</f>
        <v>4</v>
      </c>
      <c r="E19" s="21">
        <f>COUNTIF(Data!$CY:$CY,E$15&amp;"_FBI_"&amp;LEFT($B19,1)&amp;"*"&amp;"Y")</f>
        <v>2</v>
      </c>
      <c r="F19" s="21">
        <f>COUNTIF(Data!$CY:$CY,F$15&amp;"_"&amp;LEFT(F$14,2)&amp;"_"&amp;LEFT($B19,1)&amp;"*"&amp;"Y")</f>
        <v>2</v>
      </c>
      <c r="G19" s="21">
        <f>COUNTIF(Data!$CY:$CY,G$15&amp;"_"&amp;LEFT(F$14,2)&amp;"_"&amp;LEFT($B19,1)&amp;"*"&amp;"Y")</f>
        <v>3</v>
      </c>
      <c r="H19" s="21">
        <f>COUNTIF(Data!$CY:$CY,H$15&amp;"_"&amp;LEFT(H$14,2)&amp;"_"&amp;LEFT($B19,1)&amp;"*"&amp;"Y")</f>
        <v>4</v>
      </c>
      <c r="I19" s="21">
        <f>COUNTIF(Data!$CY:$CY,I$15&amp;"_"&amp;LEFT(H$14,2)&amp;"_"&amp;LEFT($B19,1)&amp;"*"&amp;"Y")</f>
        <v>3</v>
      </c>
      <c r="J19" s="21">
        <f>COUNTIF(Data!$CY:$CY,J$15&amp;"_"&amp;LEFT(J$14,2)&amp;"_"&amp;LEFT($B19,1)&amp;"*"&amp;"Y")</f>
        <v>3</v>
      </c>
      <c r="K19" s="21">
        <f>COUNTIF(Data!$CY:$CY,K$15&amp;"_"&amp;LEFT(J$14,2)&amp;"_"&amp;LEFT($B19,1)&amp;"*"&amp;"Y")</f>
        <v>3</v>
      </c>
      <c r="L19" s="22">
        <f t="shared" si="0"/>
        <v>13</v>
      </c>
      <c r="M19" s="22">
        <f t="shared" si="1"/>
        <v>11</v>
      </c>
      <c r="N19" s="22">
        <f t="shared" si="2"/>
        <v>24</v>
      </c>
    </row>
    <row r="20" spans="1:14" ht="20.100000000000001" customHeight="1" x14ac:dyDescent="0.2">
      <c r="A20" s="2"/>
      <c r="B20" s="343" t="s">
        <v>23</v>
      </c>
      <c r="C20" s="344"/>
      <c r="D20" s="5">
        <f t="shared" ref="D20:G20" si="3">SUM(D16:D19)</f>
        <v>13</v>
      </c>
      <c r="E20" s="5">
        <f t="shared" si="3"/>
        <v>8</v>
      </c>
      <c r="F20" s="5">
        <f t="shared" si="3"/>
        <v>11</v>
      </c>
      <c r="G20" s="5">
        <f t="shared" si="3"/>
        <v>9</v>
      </c>
      <c r="H20" s="5">
        <f>SUM(H16:H19)</f>
        <v>13</v>
      </c>
      <c r="I20" s="5">
        <f>SUM(I16:I19)</f>
        <v>9</v>
      </c>
      <c r="J20" s="5">
        <f t="shared" ref="J20" si="4">SUM(J16:J19)</f>
        <v>10</v>
      </c>
      <c r="K20" s="5">
        <f>SUM(K16:K19)</f>
        <v>9</v>
      </c>
      <c r="L20" s="5">
        <f t="shared" ref="L20:N20" si="5">SUM(L16:L19)</f>
        <v>47</v>
      </c>
      <c r="M20" s="5">
        <f t="shared" si="5"/>
        <v>35</v>
      </c>
      <c r="N20" s="5">
        <f t="shared" si="5"/>
        <v>82</v>
      </c>
    </row>
    <row r="21" spans="1:14" ht="9.75" customHeight="1" x14ac:dyDescent="0.2">
      <c r="A21" s="2"/>
      <c r="B21" s="3"/>
      <c r="C21" s="3"/>
      <c r="D21" s="3"/>
      <c r="E21" s="3"/>
      <c r="F21" s="3"/>
      <c r="G21" s="3"/>
      <c r="H21" s="3"/>
      <c r="I21" s="3"/>
      <c r="J21" s="3"/>
      <c r="L21" s="3"/>
      <c r="N21" s="3"/>
    </row>
    <row r="22" spans="1:14" ht="20.100000000000001" customHeight="1" x14ac:dyDescent="0.2">
      <c r="A22" s="2"/>
      <c r="B22" s="358" t="s">
        <v>1683</v>
      </c>
      <c r="C22" s="359"/>
      <c r="D22" s="359"/>
      <c r="E22" s="359"/>
      <c r="F22" s="359"/>
      <c r="G22" s="359"/>
      <c r="H22" s="359"/>
      <c r="I22" s="359"/>
      <c r="J22" s="360"/>
      <c r="L22" s="3"/>
      <c r="N22" s="3"/>
    </row>
    <row r="23" spans="1:14" ht="20.100000000000001" customHeight="1" x14ac:dyDescent="0.2">
      <c r="B23" s="365" t="s">
        <v>22</v>
      </c>
      <c r="C23" s="365" t="s">
        <v>24</v>
      </c>
      <c r="D23" s="367" t="s">
        <v>10</v>
      </c>
      <c r="E23" s="368"/>
      <c r="F23" s="367" t="s">
        <v>7</v>
      </c>
      <c r="G23" s="368"/>
      <c r="H23" s="367" t="s">
        <v>8</v>
      </c>
      <c r="I23" s="368"/>
      <c r="J23" s="361" t="s">
        <v>23</v>
      </c>
    </row>
    <row r="24" spans="1:14" ht="31.5" x14ac:dyDescent="0.2">
      <c r="B24" s="366" t="s">
        <v>22</v>
      </c>
      <c r="C24" s="366"/>
      <c r="D24" s="73" t="s">
        <v>440</v>
      </c>
      <c r="E24" s="195" t="s">
        <v>436</v>
      </c>
      <c r="F24" s="73" t="s">
        <v>440</v>
      </c>
      <c r="G24" s="195" t="s">
        <v>436</v>
      </c>
      <c r="H24" s="73" t="s">
        <v>440</v>
      </c>
      <c r="I24" s="195" t="s">
        <v>436</v>
      </c>
      <c r="J24" s="362"/>
    </row>
    <row r="25" spans="1:14" ht="20.100000000000001" customHeight="1" x14ac:dyDescent="0.2">
      <c r="B25" s="6" t="s">
        <v>12</v>
      </c>
      <c r="C25" s="6" t="s">
        <v>26</v>
      </c>
      <c r="D25" s="18">
        <f>COUNTIF(Data!$CY:$CY,D$24&amp;"_"&amp;LEFT(D$23,2)&amp;"_"&amp;LEFT($B25,1)&amp;"*"&amp;"Y")</f>
        <v>0</v>
      </c>
      <c r="E25" s="18">
        <f>COUNTIF(Data!$CY:$CY,E$24&amp;"_"&amp;LEFT(D$23,2)&amp;"_"&amp;LEFT($B25,1)&amp;"*"&amp;"Y")</f>
        <v>0</v>
      </c>
      <c r="F25" s="18">
        <f>COUNTIF(Data!$CY:$CY,F$24&amp;"_"&amp;LEFT(F$23,2)&amp;"_"&amp;LEFT($B25,1)&amp;"*"&amp;"Y")</f>
        <v>1</v>
      </c>
      <c r="G25" s="18">
        <f>COUNTIF(Data!$CY:$CY,G$24&amp;"_"&amp;LEFT(F$23,2)&amp;"_"&amp;LEFT($B25,1)&amp;"*"&amp;"Y")</f>
        <v>0</v>
      </c>
      <c r="H25" s="18">
        <f>COUNTIF(Data!$CY:$CY,H$24&amp;"_"&amp;LEFT(H$23,2)&amp;"_"&amp;LEFT($B25,1)&amp;"*"&amp;"Y")</f>
        <v>2</v>
      </c>
      <c r="I25" s="18">
        <f>COUNTIF(Data!$CY:$CY,I$24&amp;"_"&amp;LEFT(H$23,2)&amp;"_"&amp;LEFT($B25,1)&amp;"*"&amp;"Y")</f>
        <v>1</v>
      </c>
      <c r="J25" s="19">
        <f>SUM(D25:I25)</f>
        <v>4</v>
      </c>
    </row>
    <row r="26" spans="1:14" ht="20.100000000000001" customHeight="1" x14ac:dyDescent="0.2">
      <c r="B26" s="20" t="s">
        <v>13</v>
      </c>
      <c r="C26" s="20" t="s">
        <v>27</v>
      </c>
      <c r="D26" s="21">
        <f>COUNTIF(Data!$CY:$CY,D$24&amp;"_"&amp;LEFT(D$23,2)&amp;"_"&amp;LEFT($B26,1)&amp;"*"&amp;"Y")</f>
        <v>1</v>
      </c>
      <c r="E26" s="21">
        <f>COUNTIF(Data!$CY:$CY,E$24&amp;"_"&amp;LEFT(D$23,2)&amp;"_"&amp;LEFT($B26,1)&amp;"*"&amp;"Y")</f>
        <v>0</v>
      </c>
      <c r="F26" s="21">
        <f>COUNTIF(Data!$CY:$CY,F$24&amp;"_"&amp;LEFT(F$23,2)&amp;"_"&amp;LEFT($B26,1)&amp;"*"&amp;"Y")</f>
        <v>1</v>
      </c>
      <c r="G26" s="21">
        <f>COUNTIF(Data!$CY:$CY,G$24&amp;"_"&amp;LEFT(F$23,2)&amp;"_"&amp;LEFT($B26,1)&amp;"*"&amp;"Y")</f>
        <v>2</v>
      </c>
      <c r="H26" s="21">
        <f>COUNTIF(Data!$CY:$CY,H$24&amp;"_"&amp;LEFT(H$23,2)&amp;"_"&amp;LEFT($B26,1)&amp;"*"&amp;"Y")</f>
        <v>0</v>
      </c>
      <c r="I26" s="21">
        <f>COUNTIF(Data!$CY:$CY,I$24&amp;"_"&amp;LEFT(H$23,2)&amp;"_"&amp;LEFT($B26,1)&amp;"*"&amp;"Y")</f>
        <v>1</v>
      </c>
      <c r="J26" s="22">
        <f>SUM(D26:I26)</f>
        <v>5</v>
      </c>
    </row>
    <row r="27" spans="1:14" ht="20.100000000000001" customHeight="1" x14ac:dyDescent="0.2">
      <c r="B27" s="6" t="s">
        <v>14</v>
      </c>
      <c r="C27" s="6" t="s">
        <v>28</v>
      </c>
      <c r="D27" s="7">
        <f>COUNTIF(Data!$CY:$CY,D$24&amp;"_"&amp;LEFT(D$23,2)&amp;"_"&amp;LEFT($B27,1)&amp;"*"&amp;"Y")</f>
        <v>1</v>
      </c>
      <c r="E27" s="7">
        <f>COUNTIF(Data!$CY:$CY,E$24&amp;"_"&amp;LEFT(D$23,2)&amp;"_"&amp;LEFT($B27,1)&amp;"*"&amp;"Y")</f>
        <v>2</v>
      </c>
      <c r="F27" s="18">
        <f>COUNTIF(Data!$CY:$CY,F$24&amp;"_"&amp;LEFT(F$23,2)&amp;"_"&amp;LEFT($B27,1)&amp;"*"&amp;"Y")</f>
        <v>1</v>
      </c>
      <c r="G27" s="18">
        <f>COUNTIF(Data!$CY:$CY,G$24&amp;"_"&amp;LEFT(F$23,2)&amp;"_"&amp;LEFT($B27,1)&amp;"*"&amp;"Y")</f>
        <v>2</v>
      </c>
      <c r="H27" s="7">
        <f>COUNTIF(Data!$CY:$CY,H$24&amp;"_"&amp;LEFT(H$23,2)&amp;"_"&amp;LEFT($B27,1)&amp;"*"&amp;"Y")</f>
        <v>2</v>
      </c>
      <c r="I27" s="7">
        <f>COUNTIF(Data!$CY:$CY,I$24&amp;"_"&amp;LEFT(H$23,2)&amp;"_"&amp;LEFT($B27,1)&amp;"*"&amp;"Y")</f>
        <v>2</v>
      </c>
      <c r="J27" s="19">
        <f>SUM(D27:I27)</f>
        <v>10</v>
      </c>
    </row>
    <row r="28" spans="1:14" ht="20.100000000000001" customHeight="1" x14ac:dyDescent="0.2">
      <c r="B28" s="343" t="s">
        <v>23</v>
      </c>
      <c r="C28" s="344"/>
      <c r="D28" s="5">
        <f t="shared" ref="D28:I28" si="6">SUM(D25:D27)</f>
        <v>2</v>
      </c>
      <c r="E28" s="5">
        <f t="shared" si="6"/>
        <v>2</v>
      </c>
      <c r="F28" s="5">
        <f t="shared" si="6"/>
        <v>3</v>
      </c>
      <c r="G28" s="5">
        <f t="shared" si="6"/>
        <v>4</v>
      </c>
      <c r="H28" s="5">
        <f t="shared" si="6"/>
        <v>4</v>
      </c>
      <c r="I28" s="5">
        <f t="shared" si="6"/>
        <v>4</v>
      </c>
      <c r="J28" s="5">
        <f>SUM(D28:I28)</f>
        <v>19</v>
      </c>
    </row>
    <row r="29" spans="1:14" x14ac:dyDescent="0.2"/>
  </sheetData>
  <sheetProtection selectLockedCells="1" selectUnlockedCells="1"/>
  <sortState xmlns:xlrd2="http://schemas.microsoft.com/office/spreadsheetml/2017/richdata2" ref="C22:M32">
    <sortCondition ref="C22:C32"/>
  </sortState>
  <mergeCells count="44">
    <mergeCell ref="N14:N15"/>
    <mergeCell ref="C14:C15"/>
    <mergeCell ref="B23:B24"/>
    <mergeCell ref="C23:C24"/>
    <mergeCell ref="D23:E23"/>
    <mergeCell ref="F23:G23"/>
    <mergeCell ref="H23:I23"/>
    <mergeCell ref="B20:C20"/>
    <mergeCell ref="H14:I14"/>
    <mergeCell ref="B14:B15"/>
    <mergeCell ref="D14:E14"/>
    <mergeCell ref="F14:G14"/>
    <mergeCell ref="B28:C28"/>
    <mergeCell ref="J9:N9"/>
    <mergeCell ref="M14:M15"/>
    <mergeCell ref="A2:N2"/>
    <mergeCell ref="J11:N11"/>
    <mergeCell ref="C10:G10"/>
    <mergeCell ref="H10:I10"/>
    <mergeCell ref="J10:N10"/>
    <mergeCell ref="H9:I9"/>
    <mergeCell ref="J14:K14"/>
    <mergeCell ref="L14:L15"/>
    <mergeCell ref="C11:G11"/>
    <mergeCell ref="H11:I11"/>
    <mergeCell ref="B22:J22"/>
    <mergeCell ref="J23:J24"/>
    <mergeCell ref="B13:N13"/>
    <mergeCell ref="H6:I6"/>
    <mergeCell ref="J6:N6"/>
    <mergeCell ref="C6:G6"/>
    <mergeCell ref="C9:G9"/>
    <mergeCell ref="A1:N1"/>
    <mergeCell ref="H7:I7"/>
    <mergeCell ref="C8:G8"/>
    <mergeCell ref="H8:I8"/>
    <mergeCell ref="J8:N8"/>
    <mergeCell ref="J5:N5"/>
    <mergeCell ref="J7:N7"/>
    <mergeCell ref="H5:I5"/>
    <mergeCell ref="D3:E3"/>
    <mergeCell ref="C5:G5"/>
    <mergeCell ref="C7:G7"/>
    <mergeCell ref="A3:B3"/>
  </mergeCells>
  <hyperlinks>
    <hyperlink ref="B9" location="'SFP-Colour_List'!A1" display="SFP-Colour_List" xr:uid="{00000000-0004-0000-0000-000000000000}"/>
    <hyperlink ref="B7" location="'MFD-Colour_List'!A1" display="MFD-Colour_List" xr:uid="{00000000-0004-0000-0000-000001000000}"/>
    <hyperlink ref="B11" location="Prof_Services!A1" display="Prof_Services" xr:uid="{00000000-0004-0000-0000-000002000000}"/>
    <hyperlink ref="H11" location="Software!A1" display="Software" xr:uid="{00000000-0004-0000-0000-000003000000}"/>
    <hyperlink ref="H7" location="'P1-MFD_Summary'!A1" display="P1-MFD_Summary" xr:uid="{00000000-0004-0000-0000-000004000000}"/>
    <hyperlink ref="H9" location="'P1-MFD_Summary'!A1" display="P1-MFD_Summary" xr:uid="{00000000-0004-0000-0000-000005000000}"/>
    <hyperlink ref="H7:I7" location="'MFD-Colour_Upg'!A1" display="MFD-Colour_Upg" xr:uid="{00000000-0004-0000-0000-000006000000}"/>
    <hyperlink ref="H9:I9" location="'SFP-Colour_Upg'!A1" display="SFP-Colour_Upg" xr:uid="{00000000-0004-0000-0000-000007000000}"/>
    <hyperlink ref="B8" location="'MFD-BW_List'!A1" display="MFD-BW_List" xr:uid="{00000000-0004-0000-0000-000008000000}"/>
    <hyperlink ref="H8" location="'P1-MFD_Summary'!A1" display="P1-MFD_Summary" xr:uid="{00000000-0004-0000-0000-000009000000}"/>
    <hyperlink ref="H8:I8" location="'MFD-BW_Upg'!A1" display="MFD-BW_Upg" xr:uid="{00000000-0004-0000-0000-00000A000000}"/>
    <hyperlink ref="B10" location="'SFP-BW_List'!A1" display="SFP-BW_List" xr:uid="{00000000-0004-0000-0000-00000B000000}"/>
    <hyperlink ref="H10" location="'P1-MFD_Summary'!A1" display="P1-MFD_Summary" xr:uid="{00000000-0004-0000-0000-00000C000000}"/>
    <hyperlink ref="H10:I10" location="'SFP-BW_Upg'!A1" display="SFP-BW_Upg" xr:uid="{00000000-0004-0000-0000-00000D000000}"/>
    <hyperlink ref="B6" location="'Lowest TCO'!A1" display="Lowest TCO" xr:uid="{00000000-0004-0000-0000-00000E000000}"/>
    <hyperlink ref="H6" location="Min_Discounts!A1" display="Min_Discounts" xr:uid="{00000000-0004-0000-0000-00000F000000}"/>
  </hyperlinks>
  <pageMargins left="0.70866141732283472" right="0.70866141732283472" top="0.74803149606299213" bottom="0.74803149606299213" header="0.31496062992125984" footer="0.31496062992125984"/>
  <pageSetup paperSize="9" scale="99" orientation="landscape" r:id="rId1"/>
  <ignoredErrors>
    <ignoredError sqref="F17:K19 G25:G27 E25:E27 F16:K1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theme="0" tint="-0.249977111117893"/>
  </sheetPr>
  <dimension ref="A1:N48"/>
  <sheetViews>
    <sheetView zoomScaleNormal="100" workbookViewId="0">
      <selection activeCell="B62" sqref="B62"/>
    </sheetView>
  </sheetViews>
  <sheetFormatPr defaultColWidth="9.140625" defaultRowHeight="12.75" x14ac:dyDescent="0.2"/>
  <cols>
    <col min="1" max="1" width="16.7109375" style="1" customWidth="1"/>
    <col min="2" max="2" width="30.7109375" style="1" customWidth="1"/>
    <col min="3" max="3" width="17.5703125" style="1" customWidth="1"/>
    <col min="4" max="4" width="14.7109375" style="1" customWidth="1"/>
    <col min="5" max="5" width="14.7109375" style="10" customWidth="1"/>
    <col min="6" max="8" width="14.7109375" style="1" customWidth="1"/>
    <col min="9" max="12" width="12.7109375" style="1" customWidth="1"/>
    <col min="13" max="13" width="14.5703125" style="1" customWidth="1"/>
    <col min="14" max="14" width="12.7109375" style="1" customWidth="1"/>
    <col min="15" max="16384" width="9.140625" style="1"/>
  </cols>
  <sheetData>
    <row r="1" spans="1:14" ht="20.100000000000001" customHeight="1" x14ac:dyDescent="0.2">
      <c r="A1" s="416" t="s">
        <v>1703</v>
      </c>
      <c r="B1" s="417"/>
      <c r="C1" s="417"/>
      <c r="D1" s="417"/>
      <c r="E1" s="417"/>
      <c r="F1" s="417"/>
      <c r="G1" s="417"/>
      <c r="H1" s="417"/>
      <c r="I1" s="417"/>
      <c r="J1" s="417"/>
      <c r="K1" s="417"/>
      <c r="L1" s="417"/>
      <c r="M1" s="417"/>
      <c r="N1" s="429"/>
    </row>
    <row r="2" spans="1:14" ht="20.100000000000001" customHeight="1" x14ac:dyDescent="0.2">
      <c r="A2" s="428" t="s">
        <v>932</v>
      </c>
      <c r="B2" s="371"/>
      <c r="C2" s="371"/>
      <c r="D2" s="371"/>
      <c r="E2" s="371"/>
      <c r="F2" s="372"/>
      <c r="H2" s="425" t="s">
        <v>933</v>
      </c>
      <c r="I2" s="426"/>
      <c r="J2" s="426"/>
      <c r="K2" s="426"/>
      <c r="L2" s="426"/>
    </row>
    <row r="3" spans="1:14" ht="37.5" customHeight="1" x14ac:dyDescent="0.2">
      <c r="A3" s="72" t="s">
        <v>919</v>
      </c>
      <c r="B3" s="156" t="s">
        <v>1797</v>
      </c>
      <c r="C3" s="71" t="s">
        <v>69</v>
      </c>
      <c r="D3" s="155">
        <v>100000</v>
      </c>
      <c r="E3" s="1"/>
      <c r="H3" s="76" t="s">
        <v>935</v>
      </c>
      <c r="I3" s="78" t="s">
        <v>934</v>
      </c>
      <c r="J3" s="11" t="s">
        <v>938</v>
      </c>
      <c r="K3" s="77" t="s">
        <v>936</v>
      </c>
      <c r="L3" s="79" t="s">
        <v>937</v>
      </c>
      <c r="M3" s="440" t="s">
        <v>939</v>
      </c>
      <c r="N3" s="441"/>
    </row>
    <row r="5" spans="1:14" ht="20.100000000000001" customHeight="1" x14ac:dyDescent="0.2">
      <c r="A5" s="376" t="s">
        <v>1718</v>
      </c>
      <c r="B5" s="377"/>
      <c r="C5" s="377"/>
      <c r="D5" s="377"/>
      <c r="E5" s="377"/>
      <c r="F5" s="377"/>
      <c r="G5" s="377"/>
      <c r="H5" s="378"/>
    </row>
    <row r="6" spans="1:14" ht="24.95" customHeight="1" x14ac:dyDescent="0.2">
      <c r="A6" s="354" t="s">
        <v>4</v>
      </c>
      <c r="B6" s="354" t="s">
        <v>65</v>
      </c>
      <c r="C6" s="354" t="s">
        <v>10</v>
      </c>
      <c r="D6" s="354"/>
      <c r="E6" s="354" t="s">
        <v>7</v>
      </c>
      <c r="F6" s="354"/>
      <c r="G6" s="354" t="s">
        <v>8</v>
      </c>
      <c r="H6" s="354"/>
    </row>
    <row r="7" spans="1:14" ht="24.95" customHeight="1" x14ac:dyDescent="0.2">
      <c r="A7" s="338"/>
      <c r="B7" s="338"/>
      <c r="C7" s="58" t="s">
        <v>926</v>
      </c>
      <c r="D7" s="58" t="s">
        <v>927</v>
      </c>
      <c r="E7" s="58" t="s">
        <v>926</v>
      </c>
      <c r="F7" s="58" t="s">
        <v>927</v>
      </c>
      <c r="G7" s="58" t="s">
        <v>926</v>
      </c>
      <c r="H7" s="58" t="s">
        <v>927</v>
      </c>
    </row>
    <row r="8" spans="1:14" ht="24.95" customHeight="1" x14ac:dyDescent="0.2">
      <c r="A8" s="442" t="s">
        <v>37</v>
      </c>
      <c r="B8" s="66" t="s">
        <v>29</v>
      </c>
      <c r="C8" s="13" t="str">
        <f>IF(C9="Not Offered","Not Offered",VLOOKUP(C9,Data!$H:$CV,93,FALSE))</f>
        <v>Not Offered</v>
      </c>
      <c r="D8" s="11" t="str">
        <f>IF(D9="Not Offered","Not Offered",VLOOKUP(D9,Data!$H:$CV,93,FALSE))</f>
        <v>Not Offered</v>
      </c>
      <c r="E8" s="13" t="str">
        <f>IF(E9="Not Offered","Not Offered",VLOOKUP(E9,Data!$H:$CV,93,FALSE))</f>
        <v>Not Offered</v>
      </c>
      <c r="F8" s="11" t="str">
        <f>IF(F9="Not Offered","Not Offered",VLOOKUP(F9,Data!$H:$CV,93,FALSE))</f>
        <v>Not Offered</v>
      </c>
      <c r="G8" s="13">
        <f>IF(G9="Not Offered","Not Offered",VLOOKUP(G9,Data!$H:$CV,93,FALSE))</f>
        <v>408525</v>
      </c>
      <c r="H8" s="11" t="str">
        <f>IF(H9="Not Offered","Not Offered",VLOOKUP(H9,Data!$H:$CV,93,FALSE))</f>
        <v>Not Offered</v>
      </c>
    </row>
    <row r="9" spans="1:14" ht="24.95" customHeight="1" x14ac:dyDescent="0.2">
      <c r="A9" s="443"/>
      <c r="B9" s="66" t="s">
        <v>72</v>
      </c>
      <c r="C9" s="13" t="str">
        <f>Data!$H94</f>
        <v>Not Offered</v>
      </c>
      <c r="D9" s="13" t="str">
        <f>Data!$H95</f>
        <v>Not Offered</v>
      </c>
      <c r="E9" s="13" t="str">
        <f>Data!$H100</f>
        <v>Not Offered</v>
      </c>
      <c r="F9" s="13" t="str">
        <f>Data!$H101</f>
        <v>Not Offered</v>
      </c>
      <c r="G9" s="13" t="str">
        <f>Data!$H106</f>
        <v>P 311</v>
      </c>
      <c r="H9" s="13" t="str">
        <f>Data!$H107</f>
        <v>Not Offered</v>
      </c>
    </row>
    <row r="10" spans="1:14" ht="24.95" customHeight="1" x14ac:dyDescent="0.2">
      <c r="A10" s="443"/>
      <c r="B10" s="66" t="s">
        <v>33</v>
      </c>
      <c r="C10" s="13" t="str">
        <f>IF(C8="Not Offered","",VLOOKUP(C8,Data!$G:$BB,3,FALSE))</f>
        <v/>
      </c>
      <c r="D10" s="11" t="str">
        <f>IF(D8="Not Offered","",VLOOKUP(D8,Data!$G:$BB,3,FALSE))</f>
        <v/>
      </c>
      <c r="E10" s="13" t="str">
        <f>IF(E8="Not Offered","",VLOOKUP(E8,Data!$G:$BB,3,FALSE))</f>
        <v/>
      </c>
      <c r="F10" s="11" t="str">
        <f>IF(F8="Not Offered","",VLOOKUP(F8,Data!$G:$BB,3,FALSE))</f>
        <v/>
      </c>
      <c r="G10" s="13">
        <f>IF(G8="Not Offered","",VLOOKUP(G8,Data!$G:$BB,3,FALSE))</f>
        <v>30</v>
      </c>
      <c r="H10" s="11" t="str">
        <f>IF(H8="Not Offered","",VLOOKUP(H8,Data!$G:$BB,3,FALSE))</f>
        <v/>
      </c>
    </row>
    <row r="11" spans="1:14" ht="24.95" customHeight="1" x14ac:dyDescent="0.2">
      <c r="A11" s="443"/>
      <c r="B11" s="66" t="s">
        <v>30</v>
      </c>
      <c r="C11" s="60" t="str">
        <f>IF(C8="Not Offered","",VLOOKUP(C8,Data!$G:$BB,4,FALSE))</f>
        <v/>
      </c>
      <c r="D11" s="59" t="str">
        <f>IF(D8="Not Offered","",VLOOKUP(D8,Data!$G:$BB,4,FALSE))</f>
        <v/>
      </c>
      <c r="E11" s="60" t="str">
        <f>IF(E8="Not Offered","",VLOOKUP(E8,Data!$G:$BB,4,FALSE))</f>
        <v/>
      </c>
      <c r="F11" s="59" t="str">
        <f>IF(F8="Not Offered","",VLOOKUP(F8,Data!$G:$BB,4,FALSE))</f>
        <v/>
      </c>
      <c r="G11" s="60">
        <f>IF(G8="Not Offered","",VLOOKUP(G8,Data!$G:$BB,4,FALSE))</f>
        <v>350000</v>
      </c>
      <c r="H11" s="59" t="str">
        <f>IF(H8="Not Offered","",VLOOKUP(H8,Data!$G:$BB,4,FALSE))</f>
        <v/>
      </c>
    </row>
    <row r="12" spans="1:14" ht="24.95" customHeight="1" x14ac:dyDescent="0.2">
      <c r="A12" s="443"/>
      <c r="B12" s="66" t="s">
        <v>31</v>
      </c>
      <c r="C12" s="60" t="str">
        <f>IF(C8="Not Offered","",VLOOKUP(C8,Data!$G:$BB,5,FALSE))</f>
        <v/>
      </c>
      <c r="D12" s="59" t="str">
        <f>IF(D8="Not Offered","",VLOOKUP(D8,Data!$G:$BB,5,FALSE))</f>
        <v/>
      </c>
      <c r="E12" s="60" t="str">
        <f>IF(E8="Not Offered","",VLOOKUP(E8,Data!$G:$BB,5,FALSE))</f>
        <v/>
      </c>
      <c r="F12" s="59" t="str">
        <f>IF(F8="Not Offered","",VLOOKUP(F8,Data!$G:$BB,5,FALSE))</f>
        <v/>
      </c>
      <c r="G12" s="60">
        <f>IF(G8="Not Offered","",VLOOKUP(G8,Data!$G:$BB,5,FALSE))</f>
        <v>35000</v>
      </c>
      <c r="H12" s="59" t="str">
        <f>IF(H8="Not Offered","",VLOOKUP(H8,Data!$G:$BB,5,FALSE))</f>
        <v/>
      </c>
    </row>
    <row r="13" spans="1:14" ht="24.95" customHeight="1" x14ac:dyDescent="0.2">
      <c r="A13" s="393" t="s">
        <v>63</v>
      </c>
      <c r="B13" s="66" t="s">
        <v>64</v>
      </c>
      <c r="C13" s="61" t="str">
        <f>IF(C8="Not Offered","",VLOOKUP(C8,Data!$G:$BB,6,FALSE))</f>
        <v/>
      </c>
      <c r="D13" s="67" t="str">
        <f>IF(D8="Not Offered","",VLOOKUP(D8,Data!$G:$BB,6,FALSE))</f>
        <v/>
      </c>
      <c r="E13" s="61" t="str">
        <f>IF(E8="Not Offered","",VLOOKUP(E8,Data!$G:$BB,6,FALSE))</f>
        <v/>
      </c>
      <c r="F13" s="67" t="str">
        <f>IF(F8="Not Offered","",VLOOKUP(F8,Data!$G:$BB,6,FALSE))</f>
        <v/>
      </c>
      <c r="G13" s="61">
        <f>IF(G8="Not Offered","",VLOOKUP(G8,Data!$G:$BB,6,FALSE))</f>
        <v>364.71600000000001</v>
      </c>
      <c r="H13" s="67" t="str">
        <f>IF(H8="Not Offered","",VLOOKUP(H8,Data!$G:$BB,6,FALSE))</f>
        <v/>
      </c>
    </row>
    <row r="14" spans="1:14" ht="24.95" customHeight="1" x14ac:dyDescent="0.2">
      <c r="A14" s="396"/>
      <c r="B14" s="66" t="str">
        <f>$B$3&amp;" BW CPC"</f>
        <v>Zone 2 - Bunbury within 20km BW CPC</v>
      </c>
      <c r="C14" s="62" t="str">
        <f>IF(C8="Not Offered","",VLOOKUP(C8,Data!$G:$AL,5+2*(MATCH($B$3,Locations,0)),FALSE))</f>
        <v/>
      </c>
      <c r="D14" s="68" t="str">
        <f>IF(D8="Not Offered","",VLOOKUP(D8,Data!$G:$AL,5+2*(MATCH($B$3,Locations,0)),FALSE))</f>
        <v/>
      </c>
      <c r="E14" s="62" t="str">
        <f>IF(E8="Not Offered","",VLOOKUP(E8,Data!$G:$AL,5+2*(MATCH($B$3,Locations,0)),FALSE))</f>
        <v/>
      </c>
      <c r="F14" s="68" t="str">
        <f>IF(F8="Not Offered","",VLOOKUP(F8,Data!$G:$AL,5+2*(MATCH($B$3,Locations,0)),FALSE))</f>
        <v/>
      </c>
      <c r="G14" s="62">
        <f>IF(G8="Not Offered","",VLOOKUP(G8,Data!$G:$AL,5+2*(MATCH($B$3,Locations,0)),FALSE))</f>
        <v>4.1599999999999998E-2</v>
      </c>
      <c r="H14" s="68" t="str">
        <f>IF(H8="Not Offered","",VLOOKUP(H8,Data!$G:$AL,5+2*(MATCH($B$3,Locations,0)),FALSE))</f>
        <v/>
      </c>
    </row>
    <row r="15" spans="1:14" ht="24.95" customHeight="1" x14ac:dyDescent="0.2">
      <c r="A15" s="397"/>
      <c r="B15" s="66" t="str">
        <f>$B$3&amp;" Surcharge &amp; Installation"</f>
        <v>Zone 2 - Bunbury within 20km Surcharge &amp; Installation</v>
      </c>
      <c r="C15" s="62" t="str">
        <f>IF(C8="Not Offered","",IF($B$3="Zone 1 (Perth Metro)",0,VLOOKUP(C8,Data!$G:$BK,44+(MATCH($B$3,Locations,0)),FALSE)))</f>
        <v/>
      </c>
      <c r="D15" s="68" t="str">
        <f>IF(D8="Not Offered","",IF($B$3="Zone 1 (Perth Metro)",0,VLOOKUP(D8,Data!$G:$BK,44+(MATCH($B$3,Locations,0)),FALSE)))</f>
        <v/>
      </c>
      <c r="E15" s="62" t="str">
        <f>IF(E8="Not Offered","",IF($B$3="Zone 1 (Perth Metro)",0,VLOOKUP(E8,Data!$G:$BK,44+(MATCH($B$3,Locations,0)),FALSE)))</f>
        <v/>
      </c>
      <c r="F15" s="68" t="str">
        <f>IF(F8="Not Offered","",IF($B$3="Zone 1 (Perth Metro)",0,VLOOKUP(F8,Data!$G:$BK,44+(MATCH($B$3,Locations,0)),FALSE)))</f>
        <v/>
      </c>
      <c r="G15" s="62" t="str">
        <f>IF(G8="Not Offered","",IF($B$3="Zone 1 (Perth Metro)",0,VLOOKUP(G8,Data!$G:$BK,44+(MATCH($B$3,Locations,0)),FALSE)))</f>
        <v>10% + $385</v>
      </c>
      <c r="H15" s="68" t="str">
        <f>IF(H8="Not Offered","",IF($B$3="Zone 1 (Perth Metro)",0,VLOOKUP(H8,Data!$G:$BK,44+(MATCH($B$3,Locations,0)),FALSE)))</f>
        <v/>
      </c>
    </row>
    <row r="16" spans="1:14" ht="24.95" customHeight="1" x14ac:dyDescent="0.2">
      <c r="A16" s="65" t="s">
        <v>70</v>
      </c>
      <c r="B16" s="66" t="s">
        <v>71</v>
      </c>
      <c r="C16" s="13" t="str">
        <f>IF(C9="Not Offered","",IF(C11&gt;=$D$3*5,"Y","N"))</f>
        <v/>
      </c>
      <c r="D16" s="11" t="str">
        <f t="shared" ref="D16:H16" si="0">IF(D9="Not Offered","",IF(D11&gt;=$D$3*5,"Y","N"))</f>
        <v/>
      </c>
      <c r="E16" s="13" t="str">
        <f t="shared" si="0"/>
        <v/>
      </c>
      <c r="F16" s="11" t="str">
        <f t="shared" si="0"/>
        <v/>
      </c>
      <c r="G16" s="13" t="str">
        <f t="shared" si="0"/>
        <v>N</v>
      </c>
      <c r="H16" s="11" t="str">
        <f t="shared" si="0"/>
        <v/>
      </c>
    </row>
    <row r="17" spans="1:8" ht="24.95" customHeight="1" x14ac:dyDescent="0.2">
      <c r="A17" s="444" t="s">
        <v>66</v>
      </c>
      <c r="B17" s="66" t="s">
        <v>68</v>
      </c>
      <c r="C17" s="96" t="str">
        <f>IF(OR(C8="Not Offered",C14="N/A"),"",IF(C16="Y",C13,((ROUNDUP(($D$3*5)/C11,0))*C13))+C15+(C14*$D$3*5))</f>
        <v/>
      </c>
      <c r="D17" s="12" t="str">
        <f t="shared" ref="D17:H17" si="1">IF(OR(D8="Not Offered",D14="N/A"),"",IF(D16="Y",D13,((ROUNDUP(($D$3*5)/D11,0))*D13))+D15+(D14*$D$3*5))</f>
        <v/>
      </c>
      <c r="E17" s="96" t="str">
        <f t="shared" si="1"/>
        <v/>
      </c>
      <c r="F17" s="12" t="str">
        <f t="shared" si="1"/>
        <v/>
      </c>
      <c r="G17" s="96" t="e">
        <f t="shared" si="1"/>
        <v>#VALUE!</v>
      </c>
      <c r="H17" s="12" t="str">
        <f t="shared" si="1"/>
        <v/>
      </c>
    </row>
    <row r="18" spans="1:8" ht="24.95" customHeight="1" x14ac:dyDescent="0.2">
      <c r="A18" s="443"/>
      <c r="B18" s="66" t="s">
        <v>67</v>
      </c>
      <c r="C18" s="13" t="str">
        <f t="shared" ref="C18:H18" si="2">IF(C17="","",IF(ISNA(RANK(C17,$A17:$H17)),"",RANK(C17,$A17:$H17,1)))</f>
        <v/>
      </c>
      <c r="D18" s="11" t="str">
        <f t="shared" si="2"/>
        <v/>
      </c>
      <c r="E18" s="13" t="str">
        <f t="shared" si="2"/>
        <v/>
      </c>
      <c r="F18" s="11" t="str">
        <f t="shared" si="2"/>
        <v/>
      </c>
      <c r="G18" s="13" t="e">
        <f t="shared" si="2"/>
        <v>#VALUE!</v>
      </c>
      <c r="H18" s="11" t="str">
        <f t="shared" si="2"/>
        <v/>
      </c>
    </row>
    <row r="19" spans="1:8" ht="15" customHeight="1" x14ac:dyDescent="0.2">
      <c r="E19" s="1"/>
    </row>
    <row r="20" spans="1:8" ht="20.100000000000001" customHeight="1" x14ac:dyDescent="0.2">
      <c r="A20" s="354" t="s">
        <v>1717</v>
      </c>
      <c r="B20" s="433"/>
      <c r="C20" s="433"/>
      <c r="D20" s="433"/>
      <c r="E20" s="433"/>
      <c r="F20" s="433"/>
      <c r="G20" s="433"/>
      <c r="H20" s="433"/>
    </row>
    <row r="21" spans="1:8" ht="24.95" customHeight="1" x14ac:dyDescent="0.2">
      <c r="A21" s="354" t="s">
        <v>4</v>
      </c>
      <c r="B21" s="354" t="s">
        <v>65</v>
      </c>
      <c r="C21" s="354" t="s">
        <v>10</v>
      </c>
      <c r="D21" s="354"/>
      <c r="E21" s="354" t="s">
        <v>7</v>
      </c>
      <c r="F21" s="354"/>
      <c r="G21" s="354" t="s">
        <v>8</v>
      </c>
      <c r="H21" s="354"/>
    </row>
    <row r="22" spans="1:8" ht="30" customHeight="1" x14ac:dyDescent="0.2">
      <c r="A22" s="338"/>
      <c r="B22" s="338"/>
      <c r="C22" s="58" t="s">
        <v>928</v>
      </c>
      <c r="D22" s="58" t="s">
        <v>929</v>
      </c>
      <c r="E22" s="58" t="s">
        <v>928</v>
      </c>
      <c r="F22" s="58" t="s">
        <v>929</v>
      </c>
      <c r="G22" s="58" t="s">
        <v>928</v>
      </c>
      <c r="H22" s="58" t="s">
        <v>929</v>
      </c>
    </row>
    <row r="23" spans="1:8" ht="24.95" customHeight="1" x14ac:dyDescent="0.2">
      <c r="A23" s="442" t="s">
        <v>37</v>
      </c>
      <c r="B23" s="66" t="s">
        <v>29</v>
      </c>
      <c r="C23" s="13" t="str">
        <f>IF(C24="Not Offered","Not Offered",VLOOKUP(C24,Data!$H:$CV,93,FALSE))</f>
        <v>Not Offered</v>
      </c>
      <c r="D23" s="11" t="str">
        <f>IF(D24="Not Offered","Not Offered",VLOOKUP(D24,Data!$H:$CV,93,FALSE))</f>
        <v>Not Offered</v>
      </c>
      <c r="E23" s="13" t="str">
        <f>IF(E24="Not Offered","Not Offered",VLOOKUP(E24,Data!$H:$CV,93,FALSE))</f>
        <v>1102RV3AU0</v>
      </c>
      <c r="F23" s="11" t="str">
        <f>IF(F24="Not Offered","Not Offered",VLOOKUP(F24,Data!$H:$CV,93,FALSE))</f>
        <v>1102RW3AS0</v>
      </c>
      <c r="G23" s="13">
        <f>IF(G24="Not Offered","Not Offered",VLOOKUP(G24,Data!$H:$CV,93,FALSE))</f>
        <v>407484</v>
      </c>
      <c r="H23" s="11" t="str">
        <f>IF(H24="Not Offered","Not Offered",VLOOKUP(H24,Data!$H:$CV,93,FALSE))</f>
        <v>Not Offered</v>
      </c>
    </row>
    <row r="24" spans="1:8" ht="24.95" customHeight="1" x14ac:dyDescent="0.2">
      <c r="A24" s="443"/>
      <c r="B24" s="66" t="s">
        <v>72</v>
      </c>
      <c r="C24" s="13" t="str">
        <f>Data!$H96</f>
        <v>Not Offered</v>
      </c>
      <c r="D24" s="13" t="str">
        <f>Data!$H97</f>
        <v>Not Offered</v>
      </c>
      <c r="E24" s="13" t="str">
        <f>Data!$H102</f>
        <v>Ecosys P2235dn</v>
      </c>
      <c r="F24" s="11" t="str">
        <f>Data!$H103</f>
        <v>Ecosys P2235DW</v>
      </c>
      <c r="G24" s="13" t="str">
        <f>Data!$H108</f>
        <v>SP6430DN</v>
      </c>
      <c r="H24" s="11" t="str">
        <f>Data!$H109</f>
        <v>Not Offered</v>
      </c>
    </row>
    <row r="25" spans="1:8" ht="24.95" customHeight="1" x14ac:dyDescent="0.2">
      <c r="A25" s="443"/>
      <c r="B25" s="66" t="s">
        <v>33</v>
      </c>
      <c r="C25" s="13" t="str">
        <f>IF(C23="Not Offered","",VLOOKUP(C23,Data!$G:$BB,3,FALSE))</f>
        <v/>
      </c>
      <c r="D25" s="11" t="str">
        <f>IF(D23="Not Offered","",VLOOKUP(D23,Data!$G:$BB,3,FALSE))</f>
        <v/>
      </c>
      <c r="E25" s="13">
        <f>IF(E23="Not Offered","",VLOOKUP(E23,Data!$G:$BB,3,FALSE))</f>
        <v>35</v>
      </c>
      <c r="F25" s="11">
        <f>IF(F23="Not Offered","",VLOOKUP(F23,Data!$G:$BB,3,FALSE))</f>
        <v>35</v>
      </c>
      <c r="G25" s="13">
        <f>IF(G23="Not Offered","",VLOOKUP(G23,Data!$G:$BB,3,FALSE))</f>
        <v>38</v>
      </c>
      <c r="H25" s="11" t="str">
        <f>IF(H23="Not Offered","",VLOOKUP(H23,Data!$G:$BB,3,FALSE))</f>
        <v/>
      </c>
    </row>
    <row r="26" spans="1:8" ht="24.95" customHeight="1" x14ac:dyDescent="0.2">
      <c r="A26" s="443"/>
      <c r="B26" s="66" t="s">
        <v>30</v>
      </c>
      <c r="C26" s="60" t="str">
        <f>IF(C23="Not Offered","",VLOOKUP(C23,Data!$G:$BB,4,FALSE))</f>
        <v/>
      </c>
      <c r="D26" s="59" t="str">
        <f>IF(D23="Not Offered","",VLOOKUP(D23,Data!$G:$BB,4,FALSE))</f>
        <v/>
      </c>
      <c r="E26" s="60">
        <f>IF(E23="Not Offered","",VLOOKUP(E23,Data!$G:$BB,4,FALSE))</f>
        <v>200000</v>
      </c>
      <c r="F26" s="59">
        <f>IF(F23="Not Offered","",VLOOKUP(F23,Data!$G:$BB,4,FALSE))</f>
        <v>200000</v>
      </c>
      <c r="G26" s="60">
        <f>IF(G23="Not Offered","",VLOOKUP(G23,Data!$G:$BB,4,FALSE))</f>
        <v>1200000</v>
      </c>
      <c r="H26" s="59" t="str">
        <f>IF(H23="Not Offered","",VLOOKUP(H23,Data!$G:$BB,4,FALSE))</f>
        <v/>
      </c>
    </row>
    <row r="27" spans="1:8" ht="24.95" customHeight="1" x14ac:dyDescent="0.2">
      <c r="A27" s="443"/>
      <c r="B27" s="66" t="s">
        <v>31</v>
      </c>
      <c r="C27" s="60" t="str">
        <f>IF(C23="Not Offered","",VLOOKUP(C23,Data!$G:$BB,5,FALSE))</f>
        <v/>
      </c>
      <c r="D27" s="59" t="str">
        <f>IF(D23="Not Offered","",VLOOKUP(D23,Data!$G:$BB,5,FALSE))</f>
        <v/>
      </c>
      <c r="E27" s="60">
        <f>IF(E23="Not Offered","",VLOOKUP(E23,Data!$G:$BB,5,FALSE))</f>
        <v>7000</v>
      </c>
      <c r="F27" s="59">
        <f>IF(F23="Not Offered","",VLOOKUP(F23,Data!$G:$BB,5,FALSE))</f>
        <v>7000</v>
      </c>
      <c r="G27" s="60">
        <f>IF(G23="Not Offered","",VLOOKUP(G23,Data!$G:$BB,5,FALSE))</f>
        <v>200000</v>
      </c>
      <c r="H27" s="59" t="str">
        <f>IF(H23="Not Offered","",VLOOKUP(H23,Data!$G:$BB,5,FALSE))</f>
        <v/>
      </c>
    </row>
    <row r="28" spans="1:8" ht="24.95" customHeight="1" x14ac:dyDescent="0.2">
      <c r="A28" s="393" t="s">
        <v>63</v>
      </c>
      <c r="B28" s="66" t="s">
        <v>64</v>
      </c>
      <c r="C28" s="61" t="str">
        <f>IF(C23="Not Offered","",VLOOKUP(C23,Data!$G:$BB,6,FALSE))</f>
        <v/>
      </c>
      <c r="D28" s="67" t="str">
        <f>IF(D23="Not Offered","",VLOOKUP(D23,Data!$G:$BB,6,FALSE))</f>
        <v/>
      </c>
      <c r="E28" s="61">
        <f>IF(E23="Not Offered","",VLOOKUP(E23,Data!$G:$BB,6,FALSE))</f>
        <v>188.1</v>
      </c>
      <c r="F28" s="67">
        <f>IF(F23="Not Offered","",VLOOKUP(F23,Data!$G:$BB,6,FALSE))</f>
        <v>204.6</v>
      </c>
      <c r="G28" s="61">
        <f>IF(G23="Not Offered","",VLOOKUP(G23,Data!$G:$BB,6,FALSE))</f>
        <v>1111.9680000000001</v>
      </c>
      <c r="H28" s="67" t="str">
        <f>IF(H23="Not Offered","",VLOOKUP(H23,Data!$G:$BB,6,FALSE))</f>
        <v/>
      </c>
    </row>
    <row r="29" spans="1:8" ht="24.95" customHeight="1" x14ac:dyDescent="0.2">
      <c r="A29" s="396"/>
      <c r="B29" s="66" t="str">
        <f>$B$3&amp;" BW CPC"</f>
        <v>Zone 2 - Bunbury within 20km BW CPC</v>
      </c>
      <c r="C29" s="62" t="str">
        <f>IF(C23="Not Offered","",VLOOKUP(C23,Data!$G:$AL,5+2*(MATCH($B$3,Locations,0)),FALSE))</f>
        <v/>
      </c>
      <c r="D29" s="68" t="str">
        <f>IF(D23="Not Offered","",VLOOKUP(D23,Data!$G:$AL,5+2*(MATCH($B$3,Locations,0)),FALSE))</f>
        <v/>
      </c>
      <c r="E29" s="62">
        <f>IF(E23="Not Offered","",VLOOKUP(E23,Data!$G:$AL,5+2*(MATCH($B$3,Locations,0)),FALSE))</f>
        <v>3.85E-2</v>
      </c>
      <c r="F29" s="68">
        <f>IF(F23="Not Offered","",VLOOKUP(F23,Data!$G:$AL,5+2*(MATCH($B$3,Locations,0)),FALSE))</f>
        <v>6.8500000000000005E-2</v>
      </c>
      <c r="G29" s="62">
        <f>IF(G23="Not Offered","",VLOOKUP(G23,Data!$G:$AL,5+2*(MATCH($B$3,Locations,0)),FALSE))</f>
        <v>3.6850000000000008E-2</v>
      </c>
      <c r="H29" s="68" t="str">
        <f>IF(H23="Not Offered","",VLOOKUP(H23,Data!$G:$AL,5+2*(MATCH($B$3,Locations,0)),FALSE))</f>
        <v/>
      </c>
    </row>
    <row r="30" spans="1:8" ht="24.95" customHeight="1" x14ac:dyDescent="0.2">
      <c r="A30" s="397"/>
      <c r="B30" s="66" t="str">
        <f>$B$3&amp;" Surcharge &amp; Installation"</f>
        <v>Zone 2 - Bunbury within 20km Surcharge &amp; Installation</v>
      </c>
      <c r="C30" s="61" t="str">
        <f>IF(C23="Not Offered","",IF($B$3="Zone 1 (Perth Metro)",0,VLOOKUP(C23,Data!$G:$BK,44+(MATCH($B$3,Locations,0)),FALSE)))</f>
        <v/>
      </c>
      <c r="D30" s="67" t="str">
        <f>IF(D23="Not Offered","",IF($B$3="Zone 1 (Perth Metro)",0,VLOOKUP(D23,Data!$G:$BK,44+(MATCH($B$3,Locations,0)),FALSE)))</f>
        <v/>
      </c>
      <c r="E30" s="61">
        <f>IF(E23="Not Offered","",IF($B$3="Zone 1 (Perth Metro)",0,VLOOKUP(E23,Data!$G:$BK,44+(MATCH($B$3,Locations,0)),FALSE)))</f>
        <v>44</v>
      </c>
      <c r="F30" s="67">
        <f>IF(F23="Not Offered","",IF($B$3="Zone 1 (Perth Metro)",0,VLOOKUP(F23,Data!$G:$BK,44+(MATCH($B$3,Locations,0)),FALSE)))</f>
        <v>44</v>
      </c>
      <c r="G30" s="61">
        <f>IF(G23="Not Offered","",IF($B$3="Zone 1 (Perth Metro)",0,VLOOKUP(G23,Data!$G:$BK,44+(MATCH($B$3,Locations,0)),FALSE)))</f>
        <v>707.96</v>
      </c>
      <c r="H30" s="67" t="str">
        <f>IF(H23="Not Offered","",IF($B$3="Zone 1 (Perth Metro)",0,VLOOKUP(H23,Data!$G:$BK,44+(MATCH($B$3,Locations,0)),FALSE)))</f>
        <v/>
      </c>
    </row>
    <row r="31" spans="1:8" ht="24.95" customHeight="1" x14ac:dyDescent="0.2">
      <c r="A31" s="65" t="s">
        <v>70</v>
      </c>
      <c r="B31" s="66" t="s">
        <v>71</v>
      </c>
      <c r="C31" s="13" t="str">
        <f>IF(C24="Not Offered","",IF(C26&gt;=$D$3*5,"Y","N"))</f>
        <v/>
      </c>
      <c r="D31" s="11" t="str">
        <f t="shared" ref="D31:H31" si="3">IF(D24="Not Offered","",IF(D26&gt;=$D$3*5,"Y","N"))</f>
        <v/>
      </c>
      <c r="E31" s="13" t="str">
        <f t="shared" si="3"/>
        <v>N</v>
      </c>
      <c r="F31" s="11" t="str">
        <f t="shared" si="3"/>
        <v>N</v>
      </c>
      <c r="G31" s="13" t="str">
        <f t="shared" si="3"/>
        <v>Y</v>
      </c>
      <c r="H31" s="11" t="str">
        <f t="shared" si="3"/>
        <v/>
      </c>
    </row>
    <row r="32" spans="1:8" ht="24.95" customHeight="1" x14ac:dyDescent="0.2">
      <c r="A32" s="444" t="s">
        <v>66</v>
      </c>
      <c r="B32" s="66" t="s">
        <v>68</v>
      </c>
      <c r="C32" s="96" t="str">
        <f t="shared" ref="C32:H32" si="4">IF(OR(C23="Not Offered",C29="N/A"),"",IF(C31="Y",C28,((ROUNDUP(($D$3*5)/C26,0))*C28))+(C29*$D$3*5))</f>
        <v/>
      </c>
      <c r="D32" s="12" t="str">
        <f t="shared" si="4"/>
        <v/>
      </c>
      <c r="E32" s="96">
        <f t="shared" si="4"/>
        <v>19814.3</v>
      </c>
      <c r="F32" s="12">
        <f t="shared" si="4"/>
        <v>34863.80000000001</v>
      </c>
      <c r="G32" s="96">
        <f t="shared" si="4"/>
        <v>19536.968000000004</v>
      </c>
      <c r="H32" s="12" t="str">
        <f t="shared" si="4"/>
        <v/>
      </c>
    </row>
    <row r="33" spans="1:8" ht="24.95" customHeight="1" x14ac:dyDescent="0.2">
      <c r="A33" s="443"/>
      <c r="B33" s="66" t="s">
        <v>67</v>
      </c>
      <c r="C33" s="13" t="str">
        <f t="shared" ref="C33:H33" si="5">IF(C32="","",IF(ISNA(RANK(C32,$A32:$H32)),"",RANK(C32,$A32:$H32,1)))</f>
        <v/>
      </c>
      <c r="D33" s="11" t="str">
        <f t="shared" si="5"/>
        <v/>
      </c>
      <c r="E33" s="13">
        <f t="shared" si="5"/>
        <v>2</v>
      </c>
      <c r="F33" s="11">
        <f t="shared" si="5"/>
        <v>3</v>
      </c>
      <c r="G33" s="13">
        <f t="shared" si="5"/>
        <v>1</v>
      </c>
      <c r="H33" s="11" t="str">
        <f t="shared" si="5"/>
        <v/>
      </c>
    </row>
    <row r="34" spans="1:8" ht="15" customHeight="1" x14ac:dyDescent="0.2">
      <c r="E34" s="1"/>
    </row>
    <row r="35" spans="1:8" ht="24.95" customHeight="1" x14ac:dyDescent="0.2">
      <c r="A35" s="354" t="s">
        <v>1716</v>
      </c>
      <c r="B35" s="433"/>
      <c r="C35" s="433"/>
      <c r="D35" s="433"/>
      <c r="E35" s="433"/>
      <c r="F35" s="433"/>
      <c r="G35" s="433"/>
      <c r="H35" s="433"/>
    </row>
    <row r="36" spans="1:8" ht="25.5" customHeight="1" x14ac:dyDescent="0.2">
      <c r="A36" s="354" t="s">
        <v>4</v>
      </c>
      <c r="B36" s="354" t="s">
        <v>65</v>
      </c>
      <c r="C36" s="354" t="s">
        <v>10</v>
      </c>
      <c r="D36" s="354"/>
      <c r="E36" s="354" t="s">
        <v>7</v>
      </c>
      <c r="F36" s="354"/>
      <c r="G36" s="354" t="s">
        <v>8</v>
      </c>
      <c r="H36" s="354"/>
    </row>
    <row r="37" spans="1:8" ht="30" customHeight="1" x14ac:dyDescent="0.2">
      <c r="A37" s="433"/>
      <c r="B37" s="433"/>
      <c r="C37" s="9" t="s">
        <v>930</v>
      </c>
      <c r="D37" s="9" t="s">
        <v>931</v>
      </c>
      <c r="E37" s="9" t="s">
        <v>930</v>
      </c>
      <c r="F37" s="9" t="s">
        <v>931</v>
      </c>
      <c r="G37" s="9" t="s">
        <v>930</v>
      </c>
      <c r="H37" s="9" t="s">
        <v>931</v>
      </c>
    </row>
    <row r="38" spans="1:8" ht="24.95" customHeight="1" x14ac:dyDescent="0.2">
      <c r="A38" s="436" t="s">
        <v>37</v>
      </c>
      <c r="B38" s="64" t="s">
        <v>29</v>
      </c>
      <c r="C38" s="13" t="str">
        <f>IF(C39="Not Offered","Not Offered",VLOOKUP(C39,Data!$H:$CV,93,FALSE))</f>
        <v>ACF1041</v>
      </c>
      <c r="D38" s="11" t="str">
        <f>IF(D39="Not Offered","Not Offered",VLOOKUP(D39,Data!$H:$CV,93,FALSE))</f>
        <v>ACET041</v>
      </c>
      <c r="E38" s="13" t="str">
        <f>IF(E39="Not Offered","Not Offered",VLOOKUP(E39,Data!$H:$CV,93,FALSE))</f>
        <v>1102RX3ASO</v>
      </c>
      <c r="F38" s="11" t="str">
        <f>IF(F39="Not Offered","Not Offered",VLOOKUP(F39,Data!$H:$CV,93,FALSE))</f>
        <v>110C0Y3AU0</v>
      </c>
      <c r="G38" s="13">
        <f>IF(G39="Not Offered","Not Offered",VLOOKUP(G39,Data!$H:$CV,93,FALSE))</f>
        <v>418495</v>
      </c>
      <c r="H38" s="11">
        <f>IF(H39="Not Offered","Not Offered",VLOOKUP(H39,Data!$H:$CV,93,FALSE))</f>
        <v>418471</v>
      </c>
    </row>
    <row r="39" spans="1:8" ht="24.95" customHeight="1" x14ac:dyDescent="0.2">
      <c r="A39" s="395"/>
      <c r="B39" s="66" t="s">
        <v>72</v>
      </c>
      <c r="C39" s="13" t="str">
        <f>Data!$H98</f>
        <v>bizhub 5000i</v>
      </c>
      <c r="D39" s="11" t="str">
        <f>Data!$H99</f>
        <v>bizhub 4000i</v>
      </c>
      <c r="E39" s="13" t="str">
        <f>Data!$H104</f>
        <v>Ecosys P2040DN</v>
      </c>
      <c r="F39" s="11" t="str">
        <f>Data!$H105</f>
        <v>Ecosys PA 4500X</v>
      </c>
      <c r="G39" s="13" t="str">
        <f>Data!$H110</f>
        <v>P 502</v>
      </c>
      <c r="H39" s="11" t="str">
        <f>Data!$H111</f>
        <v>P 800</v>
      </c>
    </row>
    <row r="40" spans="1:8" ht="24.95" customHeight="1" x14ac:dyDescent="0.2">
      <c r="A40" s="395"/>
      <c r="B40" s="66" t="s">
        <v>33</v>
      </c>
      <c r="C40" s="13">
        <f>IF(C38="Not Offered","",VLOOKUP(C38,Data!$G:$BB,3,FALSE))</f>
        <v>50</v>
      </c>
      <c r="D40" s="11">
        <f>IF(D38="Not Offered","",VLOOKUP(D38,Data!$G:$BB,3,FALSE))</f>
        <v>40</v>
      </c>
      <c r="E40" s="13">
        <f>IF(E38="Not Offered","",VLOOKUP(E38,Data!$G:$BB,3,FALSE))</f>
        <v>40</v>
      </c>
      <c r="F40" s="11">
        <f>IF(F38="Not Offered","",VLOOKUP(F38,Data!$G:$BB,3,FALSE))</f>
        <v>45</v>
      </c>
      <c r="G40" s="13">
        <f>IF(G38="Not Offered","",VLOOKUP(G38,Data!$G:$BB,3,FALSE))</f>
        <v>43</v>
      </c>
      <c r="H40" s="11">
        <f>IF(H38="Not Offered","",VLOOKUP(H38,Data!$G:$BB,3,FALSE))</f>
        <v>55</v>
      </c>
    </row>
    <row r="41" spans="1:8" ht="24.95" customHeight="1" x14ac:dyDescent="0.2">
      <c r="A41" s="395"/>
      <c r="B41" s="66" t="s">
        <v>30</v>
      </c>
      <c r="C41" s="60">
        <f>IF(C38="Not Offered","",VLOOKUP(C38,Data!$G:$BB,4,FALSE))</f>
        <v>600000</v>
      </c>
      <c r="D41" s="59">
        <f>IF(D38="Not Offered","",VLOOKUP(D38,Data!$G:$BB,4,FALSE))</f>
        <v>220000</v>
      </c>
      <c r="E41" s="60">
        <f>IF(E38="Not Offered","",VLOOKUP(E38,Data!$G:$BB,4,FALSE))</f>
        <v>200000</v>
      </c>
      <c r="F41" s="59">
        <f>IF(F38="Not Offered","",VLOOKUP(F38,Data!$G:$BB,4,FALSE))</f>
        <v>900000</v>
      </c>
      <c r="G41" s="60">
        <f>IF(G38="Not Offered","",VLOOKUP(G38,Data!$G:$BB,4,FALSE))</f>
        <v>600000</v>
      </c>
      <c r="H41" s="59">
        <f>IF(H38="Not Offered","",VLOOKUP(H38,Data!$G:$BB,4,FALSE))</f>
        <v>996000</v>
      </c>
    </row>
    <row r="42" spans="1:8" ht="24.95" customHeight="1" x14ac:dyDescent="0.2">
      <c r="A42" s="340"/>
      <c r="B42" s="66" t="s">
        <v>31</v>
      </c>
      <c r="C42" s="60">
        <f>IF(C38="Not Offered","",VLOOKUP(C38,Data!$G:$BB,5,FALSE))</f>
        <v>10000</v>
      </c>
      <c r="D42" s="59">
        <f>IF(D38="Not Offered","",VLOOKUP(D38,Data!$G:$BB,5,FALSE))</f>
        <v>3600</v>
      </c>
      <c r="E42" s="60">
        <f>IF(E38="Not Offered","",VLOOKUP(E38,Data!$G:$BB,5,FALSE))</f>
        <v>12000</v>
      </c>
      <c r="F42" s="59">
        <f>IF(F38="Not Offered","",VLOOKUP(F38,Data!$G:$BB,5,FALSE))</f>
        <v>15000</v>
      </c>
      <c r="G42" s="60">
        <f>IF(G38="Not Offered","",VLOOKUP(G38,Data!$G:$BB,5,FALSE))</f>
        <v>150000</v>
      </c>
      <c r="H42" s="59">
        <f>IF(H38="Not Offered","",VLOOKUP(H38,Data!$G:$BB,5,FALSE))</f>
        <v>250000</v>
      </c>
    </row>
    <row r="43" spans="1:8" ht="24.95" customHeight="1" x14ac:dyDescent="0.2">
      <c r="A43" s="393" t="s">
        <v>63</v>
      </c>
      <c r="B43" s="66" t="s">
        <v>64</v>
      </c>
      <c r="C43" s="61">
        <f>IF(C38="Not Offered","",VLOOKUP(C38,Data!$G:$BB,6,FALSE))</f>
        <v>676.77500000000009</v>
      </c>
      <c r="D43" s="67">
        <f>IF(D38="Not Offered","",VLOOKUP(D38,Data!$G:$BB,6,FALSE))</f>
        <v>400.18</v>
      </c>
      <c r="E43" s="61">
        <f>IF(E38="Not Offered","",VLOOKUP(E38,Data!$G:$BB,6,FALSE))</f>
        <v>221.1</v>
      </c>
      <c r="F43" s="67">
        <f>IF(F38="Not Offered","",VLOOKUP(F38,Data!$G:$BB,6,FALSE))</f>
        <v>653.4</v>
      </c>
      <c r="G43" s="61">
        <f>IF(G38="Not Offered","",VLOOKUP(G38,Data!$G:$BB,6,FALSE))</f>
        <v>1038.3120000000001</v>
      </c>
      <c r="H43" s="67">
        <f>IF(H38="Not Offered","",VLOOKUP(H38,Data!$G:$BB,6,FALSE))</f>
        <v>1050.1920000000002</v>
      </c>
    </row>
    <row r="44" spans="1:8" ht="24.95" customHeight="1" x14ac:dyDescent="0.2">
      <c r="A44" s="396"/>
      <c r="B44" s="66" t="str">
        <f>$B$3&amp;" BW CPC"</f>
        <v>Zone 2 - Bunbury within 20km BW CPC</v>
      </c>
      <c r="C44" s="62">
        <f>IF(C38="Not Offered","",VLOOKUP(C38,Data!$G:$AL,5+2*(MATCH($B$3,Locations,0)),FALSE))</f>
        <v>2.4199999999999999E-2</v>
      </c>
      <c r="D44" s="68">
        <f>IF(D38="Not Offered","",VLOOKUP(D38,Data!$G:$AL,5+2*(MATCH($B$3,Locations,0)),FALSE))</f>
        <v>2.4199999999999999E-2</v>
      </c>
      <c r="E44" s="62">
        <f>IF(E38="Not Offered","",VLOOKUP(E38,Data!$G:$AL,5+2*(MATCH($B$3,Locations,0)),FALSE))</f>
        <v>2.1999999999999999E-2</v>
      </c>
      <c r="F44" s="68">
        <f>IF(F38="Not Offered","",VLOOKUP(F38,Data!$G:$AL,5+2*(MATCH($B$3,Locations,0)),FALSE))</f>
        <v>1.7600000000000001E-2</v>
      </c>
      <c r="G44" s="62">
        <f>IF(G38="Not Offered","",VLOOKUP(G38,Data!$G:$AL,5+2*(MATCH($B$3,Locations,0)),FALSE))</f>
        <v>4.8730000000000002E-2</v>
      </c>
      <c r="H44" s="68">
        <f>IF(H38="Not Offered","",VLOOKUP(H38,Data!$G:$AL,5+2*(MATCH($B$3,Locations,0)),FALSE))</f>
        <v>4.8730000000000002E-2</v>
      </c>
    </row>
    <row r="45" spans="1:8" ht="24.95" customHeight="1" x14ac:dyDescent="0.2">
      <c r="A45" s="397"/>
      <c r="B45" s="66" t="str">
        <f>$B$3&amp;" Surcharge &amp; Installation"</f>
        <v>Zone 2 - Bunbury within 20km Surcharge &amp; Installation</v>
      </c>
      <c r="C45" s="61">
        <f>IF(C38="Not Offered","",IF($B$3="Zone 1 (Perth Metro)",0,VLOOKUP(C38,Data!$G:$BK,44+(MATCH($B$3,Locations,0)),FALSE)))</f>
        <v>891</v>
      </c>
      <c r="D45" s="67">
        <f>IF(D38="Not Offered","",IF($B$3="Zone 1 (Perth Metro)",0,VLOOKUP(D38,Data!$G:$BK,44+(MATCH($B$3,Locations,0)),FALSE)))</f>
        <v>836</v>
      </c>
      <c r="E45" s="61">
        <f>IF(E38="Not Offered","",IF($B$3="Zone 1 (Perth Metro)",0,VLOOKUP(E38,Data!$G:$BK,44+(MATCH($B$3,Locations,0)),FALSE)))</f>
        <v>44</v>
      </c>
      <c r="F45" s="67">
        <f>IF(F38="Not Offered","",IF($B$3="Zone 1 (Perth Metro)",0,VLOOKUP(F38,Data!$G:$BK,44+(MATCH($B$3,Locations,0)),FALSE)))</f>
        <v>88</v>
      </c>
      <c r="G45" s="61">
        <f>IF(G38="Not Offered","",IF($B$3="Zone 1 (Perth Metro)",0,VLOOKUP(G38,Data!$G:$BK,44+(MATCH($B$3,Locations,0)),FALSE)))</f>
        <v>481.14</v>
      </c>
      <c r="H45" s="67">
        <f>IF(H38="Not Offered","",IF($B$3="Zone 1 (Perth Metro)",0,VLOOKUP(H38,Data!$G:$BK,44+(MATCH($B$3,Locations,0)),FALSE)))</f>
        <v>482.24000000000007</v>
      </c>
    </row>
    <row r="46" spans="1:8" ht="24.95" customHeight="1" x14ac:dyDescent="0.2">
      <c r="A46" s="65" t="s">
        <v>70</v>
      </c>
      <c r="B46" s="66" t="s">
        <v>71</v>
      </c>
      <c r="C46" s="13" t="str">
        <f>IF(C39="Not Offered","",IF(C41&gt;=$D$3*5,"Y","N"))</f>
        <v>Y</v>
      </c>
      <c r="D46" s="11" t="str">
        <f t="shared" ref="D46:H46" si="6">IF(D39="Not Offered","",IF(D41&gt;=$D$3*5,"Y","N"))</f>
        <v>N</v>
      </c>
      <c r="E46" s="13" t="str">
        <f t="shared" si="6"/>
        <v>N</v>
      </c>
      <c r="F46" s="11" t="str">
        <f t="shared" si="6"/>
        <v>Y</v>
      </c>
      <c r="G46" s="13" t="str">
        <f t="shared" si="6"/>
        <v>Y</v>
      </c>
      <c r="H46" s="11" t="str">
        <f t="shared" si="6"/>
        <v>Y</v>
      </c>
    </row>
    <row r="47" spans="1:8" ht="24.95" customHeight="1" x14ac:dyDescent="0.2">
      <c r="A47" s="393" t="s">
        <v>66</v>
      </c>
      <c r="B47" s="66" t="s">
        <v>68</v>
      </c>
      <c r="C47" s="96">
        <f t="shared" ref="C47" si="7">IF(OR(C38="Not Offered",C44="N/A"),"",IF(C46="Y",C43,((ROUNDUP(($D$3*5)/C41,0))*C43))+(C44*$D$3*5))</f>
        <v>12776.775</v>
      </c>
      <c r="D47" s="12">
        <f t="shared" ref="D47" si="8">IF(OR(D38="Not Offered",D44="N/A"),"",IF(D46="Y",D43,((ROUNDUP(($D$3*5)/D41,0))*D43))+(D44*$D$3*5))</f>
        <v>13300.54</v>
      </c>
      <c r="E47" s="96">
        <f t="shared" ref="E47" si="9">IF(OR(E38="Not Offered",E44="N/A"),"",IF(E46="Y",E43,((ROUNDUP(($D$3*5)/E41,0))*E43))+(E44*$D$3*5))</f>
        <v>11663.3</v>
      </c>
      <c r="F47" s="12">
        <f t="shared" ref="F47" si="10">IF(OR(F38="Not Offered",F44="N/A"),"",IF(F46="Y",F43,((ROUNDUP(($D$3*5)/F41,0))*F43))+(F44*$D$3*5))</f>
        <v>9453.4</v>
      </c>
      <c r="G47" s="96">
        <f t="shared" ref="G47" si="11">IF(OR(G38="Not Offered",G44="N/A"),"",IF(G46="Y",G43,((ROUNDUP(($D$3*5)/G41,0))*G43))+(G44*$D$3*5))</f>
        <v>25403.312000000002</v>
      </c>
      <c r="H47" s="12">
        <f t="shared" ref="H47" si="12">IF(OR(H38="Not Offered",H44="N/A"),"",IF(H46="Y",H43,((ROUNDUP(($D$3*5)/H41,0))*H43))+(H44*$D$3*5))</f>
        <v>25415.191999999999</v>
      </c>
    </row>
    <row r="48" spans="1:8" ht="24.95" customHeight="1" x14ac:dyDescent="0.2">
      <c r="A48" s="445"/>
      <c r="B48" s="66" t="s">
        <v>67</v>
      </c>
      <c r="C48" s="13">
        <f t="shared" ref="C48:H48" si="13">IF(C47="","",IF(ISNA(RANK(C47,$A47:$H47)),"",RANK(C47,$A47:$H47,1)))</f>
        <v>3</v>
      </c>
      <c r="D48" s="11">
        <f t="shared" si="13"/>
        <v>4</v>
      </c>
      <c r="E48" s="13">
        <f t="shared" si="13"/>
        <v>2</v>
      </c>
      <c r="F48" s="11">
        <f t="shared" si="13"/>
        <v>1</v>
      </c>
      <c r="G48" s="13">
        <f t="shared" si="13"/>
        <v>5</v>
      </c>
      <c r="H48" s="11">
        <f t="shared" si="13"/>
        <v>6</v>
      </c>
    </row>
  </sheetData>
  <sheetProtection algorithmName="SHA-512" hashValue="mqdChUnZk3756pn8m6wo/4Cfnx9bDWII6IGwM86tYIRdxr4sJoKqLeonBQtfcUYy58irixPJKoRk/Ls8qNqu/g==" saltValue="/TruxZW9y1bx8IH6/TJQBw==" spinCount="100000" sheet="1" formatCells="0" formatColumns="0" formatRows="0" sort="0" autoFilter="0" pivotTables="0"/>
  <mergeCells count="31">
    <mergeCell ref="A43:A45"/>
    <mergeCell ref="A38:A42"/>
    <mergeCell ref="A47:A48"/>
    <mergeCell ref="A20:H20"/>
    <mergeCell ref="A36:A37"/>
    <mergeCell ref="B36:B37"/>
    <mergeCell ref="C36:D36"/>
    <mergeCell ref="E36:F36"/>
    <mergeCell ref="G36:H36"/>
    <mergeCell ref="A35:H35"/>
    <mergeCell ref="A32:A33"/>
    <mergeCell ref="A28:A30"/>
    <mergeCell ref="A8:A12"/>
    <mergeCell ref="A17:A18"/>
    <mergeCell ref="A23:A27"/>
    <mergeCell ref="E6:F6"/>
    <mergeCell ref="G6:H6"/>
    <mergeCell ref="G21:H21"/>
    <mergeCell ref="A21:A22"/>
    <mergeCell ref="B21:B22"/>
    <mergeCell ref="C21:D21"/>
    <mergeCell ref="E21:F21"/>
    <mergeCell ref="A13:A15"/>
    <mergeCell ref="A1:N1"/>
    <mergeCell ref="A2:F2"/>
    <mergeCell ref="H2:L2"/>
    <mergeCell ref="M3:N3"/>
    <mergeCell ref="A6:A7"/>
    <mergeCell ref="B6:B7"/>
    <mergeCell ref="C6:D6"/>
    <mergeCell ref="A5:H5"/>
  </mergeCells>
  <conditionalFormatting sqref="C18:F18">
    <cfRule type="cellIs" dxfId="72" priority="40" operator="equal">
      <formula>MAX($C18:$L18)</formula>
    </cfRule>
    <cfRule type="cellIs" dxfId="71" priority="41" operator="between">
      <formula>((COUNT($C18:$L18)/4)*3)+1</formula>
      <formula>MAX($C18:$J18)-1</formula>
    </cfRule>
    <cfRule type="cellIs" dxfId="70" priority="43" operator="equal">
      <formula>1</formula>
    </cfRule>
  </conditionalFormatting>
  <conditionalFormatting sqref="C18:G18">
    <cfRule type="cellIs" dxfId="69" priority="42" operator="between">
      <formula>2</formula>
      <formula>COUNT($C18:$L18)/4</formula>
    </cfRule>
  </conditionalFormatting>
  <conditionalFormatting sqref="C8:H18">
    <cfRule type="expression" dxfId="68" priority="52">
      <formula>C$8="Not Offered"</formula>
    </cfRule>
  </conditionalFormatting>
  <conditionalFormatting sqref="C16:H16">
    <cfRule type="cellIs" dxfId="67" priority="34" operator="equal">
      <formula>"N"</formula>
    </cfRule>
  </conditionalFormatting>
  <conditionalFormatting sqref="C23:H33">
    <cfRule type="expression" dxfId="66" priority="17">
      <formula>C$23="Not Offered"</formula>
    </cfRule>
  </conditionalFormatting>
  <conditionalFormatting sqref="C31:H31">
    <cfRule type="cellIs" dxfId="65" priority="18" operator="equal">
      <formula>"N"</formula>
    </cfRule>
  </conditionalFormatting>
  <conditionalFormatting sqref="C33:H33">
    <cfRule type="cellIs" dxfId="64" priority="19" operator="equal">
      <formula>MAX($C33:$L33)</formula>
    </cfRule>
    <cfRule type="cellIs" dxfId="63" priority="20" operator="between">
      <formula>((COUNT($C33:$L33)/4)*3)+1</formula>
      <formula>MAX($C33:$J33)-1</formula>
    </cfRule>
    <cfRule type="cellIs" dxfId="62" priority="21" operator="between">
      <formula>2</formula>
      <formula>COUNT($C33:$L33)/4</formula>
    </cfRule>
    <cfRule type="cellIs" dxfId="61" priority="22" operator="equal">
      <formula>1</formula>
    </cfRule>
  </conditionalFormatting>
  <conditionalFormatting sqref="C38:H48">
    <cfRule type="expression" dxfId="60" priority="1">
      <formula>C$38="Not Offered"</formula>
    </cfRule>
  </conditionalFormatting>
  <conditionalFormatting sqref="C46:H46">
    <cfRule type="cellIs" dxfId="59" priority="2" operator="equal">
      <formula>"N"</formula>
    </cfRule>
  </conditionalFormatting>
  <conditionalFormatting sqref="C48:H48">
    <cfRule type="cellIs" dxfId="58" priority="3" operator="equal">
      <formula>MAX($C48:$L48)</formula>
    </cfRule>
    <cfRule type="cellIs" dxfId="57" priority="4" operator="between">
      <formula>((COUNT($C48:$L48)/4)*3)+1</formula>
      <formula>MAX($C48:$J48)-1</formula>
    </cfRule>
    <cfRule type="cellIs" dxfId="56" priority="5" operator="between">
      <formula>2</formula>
      <formula>COUNT($C48:$L48)/4</formula>
    </cfRule>
    <cfRule type="cellIs" dxfId="55" priority="6" operator="equal">
      <formula>1</formula>
    </cfRule>
  </conditionalFormatting>
  <conditionalFormatting sqref="G18">
    <cfRule type="cellIs" dxfId="54" priority="33" operator="equal">
      <formula>1</formula>
    </cfRule>
    <cfRule type="cellIs" dxfId="53" priority="53" operator="equal">
      <formula>MAX($C18:$L18)</formula>
    </cfRule>
    <cfRule type="cellIs" dxfId="52" priority="54" operator="between">
      <formula>((COUNT($C18:$L18)/4)*3)+1</formula>
      <formula>MAX($C18:$J18)-1</formula>
    </cfRule>
  </conditionalFormatting>
  <conditionalFormatting sqref="H18">
    <cfRule type="cellIs" dxfId="51" priority="35" operator="equal">
      <formula>MAX($C18:$L18)</formula>
    </cfRule>
    <cfRule type="cellIs" dxfId="50" priority="36" operator="between">
      <formula>((COUNT($C18:$L18)/4)*3)+1</formula>
      <formula>MAX($C18:$J18)-1</formula>
    </cfRule>
    <cfRule type="cellIs" dxfId="49" priority="37" operator="between">
      <formula>2</formula>
      <formula>COUNT($C18:$L18)/4</formula>
    </cfRule>
    <cfRule type="cellIs" dxfId="48" priority="38" operator="equal">
      <formula>1</formula>
    </cfRule>
  </conditionalFormatting>
  <dataValidations count="2">
    <dataValidation type="list" allowBlank="1" showInputMessage="1" showErrorMessage="1" sqref="B3" xr:uid="{00000000-0002-0000-0900-000000000000}">
      <formula1>Locations</formula1>
    </dataValidation>
    <dataValidation type="whole" allowBlank="1" showInputMessage="1" showErrorMessage="1" sqref="D3" xr:uid="{00000000-0002-0000-0900-000001000000}">
      <formula1>0</formula1>
      <formula2>5000000</formula2>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0" tint="-0.249977111117893"/>
  </sheetPr>
  <dimension ref="A1:J41"/>
  <sheetViews>
    <sheetView workbookViewId="0">
      <selection activeCell="D26" sqref="D26"/>
    </sheetView>
  </sheetViews>
  <sheetFormatPr defaultColWidth="9.140625" defaultRowHeight="12.75" x14ac:dyDescent="0.2"/>
  <cols>
    <col min="1" max="1" width="20.28515625" style="1" customWidth="1"/>
    <col min="2" max="2" width="14.28515625" style="1" customWidth="1"/>
    <col min="3" max="3" width="65.7109375" style="1" customWidth="1"/>
    <col min="4" max="4" width="9.140625" style="1"/>
    <col min="5" max="10" width="10.7109375" style="1" customWidth="1"/>
    <col min="11" max="16384" width="9.140625" style="1"/>
  </cols>
  <sheetData>
    <row r="1" spans="1:10" ht="20.100000000000001" customHeight="1" x14ac:dyDescent="0.2">
      <c r="A1" s="416" t="s">
        <v>1767</v>
      </c>
      <c r="B1" s="417"/>
      <c r="C1" s="417"/>
      <c r="D1" s="417"/>
      <c r="E1" s="417"/>
      <c r="F1" s="417"/>
      <c r="G1" s="417"/>
      <c r="H1" s="417"/>
      <c r="I1" s="417"/>
      <c r="J1" s="417"/>
    </row>
    <row r="2" spans="1:10" ht="17.45" customHeight="1" x14ac:dyDescent="0.2">
      <c r="A2" s="446" t="s">
        <v>1766</v>
      </c>
      <c r="B2" s="446"/>
      <c r="C2" s="446"/>
      <c r="D2" s="446"/>
      <c r="E2" s="446"/>
      <c r="F2" s="446"/>
      <c r="G2" s="446"/>
      <c r="H2" s="446"/>
      <c r="I2" s="446"/>
      <c r="J2" s="446"/>
    </row>
    <row r="3" spans="1:10" ht="17.45" customHeight="1" x14ac:dyDescent="0.2">
      <c r="A3" s="447" t="s">
        <v>1805</v>
      </c>
      <c r="B3" s="448"/>
      <c r="C3" s="448"/>
      <c r="D3" s="448"/>
      <c r="E3" s="448"/>
      <c r="F3" s="448"/>
      <c r="G3" s="448"/>
      <c r="H3" s="448"/>
      <c r="I3" s="448"/>
      <c r="J3" s="448"/>
    </row>
    <row r="4" spans="1:10" ht="9.9499999999999993" customHeight="1" x14ac:dyDescent="0.2">
      <c r="A4" s="175"/>
      <c r="B4" s="175"/>
      <c r="C4" s="175"/>
      <c r="D4" s="175"/>
      <c r="E4" s="175"/>
      <c r="F4" s="175"/>
      <c r="G4" s="175"/>
      <c r="H4" s="175"/>
      <c r="I4" s="175"/>
      <c r="J4" s="175"/>
    </row>
    <row r="5" spans="1:10" ht="30" customHeight="1" x14ac:dyDescent="0.2">
      <c r="A5" s="70" t="s">
        <v>42</v>
      </c>
      <c r="B5" s="70" t="s">
        <v>1253</v>
      </c>
      <c r="C5" s="142" t="s">
        <v>1254</v>
      </c>
      <c r="D5" s="70" t="s">
        <v>1368</v>
      </c>
      <c r="E5" s="70" t="s">
        <v>926</v>
      </c>
      <c r="F5" s="70" t="s">
        <v>927</v>
      </c>
      <c r="G5" s="70" t="s">
        <v>928</v>
      </c>
      <c r="H5" s="70" t="s">
        <v>929</v>
      </c>
      <c r="I5" s="70" t="s">
        <v>930</v>
      </c>
      <c r="J5" s="70" t="s">
        <v>931</v>
      </c>
    </row>
    <row r="6" spans="1:10" ht="30" customHeight="1" x14ac:dyDescent="0.2">
      <c r="A6" s="123" t="s">
        <v>10</v>
      </c>
      <c r="B6" s="123" t="s">
        <v>0</v>
      </c>
      <c r="C6" s="124" t="s">
        <v>1631</v>
      </c>
      <c r="D6" s="123" t="s">
        <v>0</v>
      </c>
      <c r="E6" s="181" t="str">
        <f ca="1">INDIRECT("Data!$H"&amp;COLUMN()+89)</f>
        <v>Not Offered</v>
      </c>
      <c r="F6" s="181" t="str">
        <f t="shared" ref="F6:J6" ca="1" si="0">INDIRECT("Data!$H"&amp;COLUMN()+89)</f>
        <v>Not Offered</v>
      </c>
      <c r="G6" s="181" t="str">
        <f t="shared" ca="1" si="0"/>
        <v>Not Offered</v>
      </c>
      <c r="H6" s="181" t="str">
        <f t="shared" ca="1" si="0"/>
        <v>Not Offered</v>
      </c>
      <c r="I6" s="182" t="str">
        <f t="shared" ca="1" si="0"/>
        <v>bizhub 5000i</v>
      </c>
      <c r="J6" s="182" t="str">
        <f t="shared" ca="1" si="0"/>
        <v>bizhub 4000i</v>
      </c>
    </row>
    <row r="7" spans="1:10" ht="20.100000000000001" customHeight="1" x14ac:dyDescent="0.2">
      <c r="A7" s="130" t="s">
        <v>10</v>
      </c>
      <c r="B7" s="132" t="s">
        <v>1499</v>
      </c>
      <c r="C7" s="136" t="s">
        <v>1500</v>
      </c>
      <c r="D7" s="131">
        <v>5.5</v>
      </c>
      <c r="E7" s="121"/>
      <c r="F7" s="152"/>
      <c r="G7" s="121"/>
      <c r="H7" s="139"/>
      <c r="I7" s="121" t="s">
        <v>2</v>
      </c>
      <c r="J7" s="152" t="s">
        <v>2</v>
      </c>
    </row>
    <row r="8" spans="1:10" ht="20.100000000000001" customHeight="1" x14ac:dyDescent="0.2">
      <c r="A8" s="130" t="s">
        <v>10</v>
      </c>
      <c r="B8" s="133" t="s">
        <v>1501</v>
      </c>
      <c r="C8" s="136" t="s">
        <v>1502</v>
      </c>
      <c r="D8" s="131">
        <v>99</v>
      </c>
      <c r="E8" s="121"/>
      <c r="F8" s="152"/>
      <c r="G8" s="121"/>
      <c r="H8" s="139"/>
      <c r="I8" s="121" t="s">
        <v>2</v>
      </c>
      <c r="J8" s="152" t="s">
        <v>2</v>
      </c>
    </row>
    <row r="9" spans="1:10" ht="20.100000000000001" customHeight="1" x14ac:dyDescent="0.2">
      <c r="A9" s="130" t="s">
        <v>10</v>
      </c>
      <c r="B9" s="130" t="s">
        <v>1657</v>
      </c>
      <c r="C9" s="136" t="s">
        <v>1658</v>
      </c>
      <c r="D9" s="131">
        <f>[1]Sheet1!C142*1.07</f>
        <v>66.500500000000017</v>
      </c>
      <c r="E9" s="121"/>
      <c r="F9" s="152"/>
      <c r="G9" s="121"/>
      <c r="H9" s="139"/>
      <c r="I9" s="121" t="s">
        <v>2</v>
      </c>
      <c r="J9" s="152" t="s">
        <v>2</v>
      </c>
    </row>
    <row r="10" spans="1:10" ht="20.100000000000001" customHeight="1" x14ac:dyDescent="0.2">
      <c r="A10" s="130" t="s">
        <v>10</v>
      </c>
      <c r="B10" s="130" t="s">
        <v>1610</v>
      </c>
      <c r="C10" s="136" t="s">
        <v>1659</v>
      </c>
      <c r="D10" s="131">
        <f>[1]Sheet1!C143*1.07</f>
        <v>78.270500000000013</v>
      </c>
      <c r="E10" s="121"/>
      <c r="F10" s="152"/>
      <c r="G10" s="121"/>
      <c r="H10" s="139"/>
      <c r="I10" s="121" t="s">
        <v>3</v>
      </c>
      <c r="J10" s="152" t="s">
        <v>3</v>
      </c>
    </row>
    <row r="11" spans="1:10" ht="20.100000000000001" customHeight="1" x14ac:dyDescent="0.2">
      <c r="A11" s="130" t="s">
        <v>10</v>
      </c>
      <c r="B11" s="130" t="s">
        <v>1611</v>
      </c>
      <c r="C11" s="136" t="s">
        <v>1660</v>
      </c>
      <c r="D11" s="131">
        <f>[1]Sheet1!C144*1.07</f>
        <v>118.87700000000001</v>
      </c>
      <c r="E11" s="121"/>
      <c r="F11" s="152"/>
      <c r="G11" s="121"/>
      <c r="H11" s="139"/>
      <c r="I11" s="121" t="s">
        <v>3</v>
      </c>
      <c r="J11" s="152" t="s">
        <v>3</v>
      </c>
    </row>
    <row r="12" spans="1:10" ht="20.100000000000001" customHeight="1" x14ac:dyDescent="0.2">
      <c r="A12" s="130" t="s">
        <v>10</v>
      </c>
      <c r="B12" s="132" t="s">
        <v>1944</v>
      </c>
      <c r="C12" s="136" t="s">
        <v>1945</v>
      </c>
      <c r="D12" s="131">
        <f>[1]Sheet1!C145*1.07</f>
        <v>78.270500000000013</v>
      </c>
      <c r="E12" s="121"/>
      <c r="F12" s="152"/>
      <c r="G12" s="121"/>
      <c r="H12" s="139"/>
      <c r="I12" s="121" t="s">
        <v>2</v>
      </c>
      <c r="J12" s="152" t="s">
        <v>3</v>
      </c>
    </row>
    <row r="13" spans="1:10" ht="20.100000000000001" customHeight="1" x14ac:dyDescent="0.2">
      <c r="A13" s="130" t="s">
        <v>10</v>
      </c>
      <c r="B13" s="132" t="s">
        <v>1946</v>
      </c>
      <c r="C13" s="136" t="s">
        <v>1947</v>
      </c>
      <c r="D13" s="131">
        <f>[1]Sheet1!C146*1.07</f>
        <v>118.877</v>
      </c>
      <c r="E13" s="121"/>
      <c r="F13" s="152"/>
      <c r="G13" s="121"/>
      <c r="H13" s="139"/>
      <c r="I13" s="121" t="s">
        <v>2</v>
      </c>
      <c r="J13" s="152" t="s">
        <v>3</v>
      </c>
    </row>
    <row r="14" spans="1:10" ht="30" customHeight="1" x14ac:dyDescent="0.2">
      <c r="A14" s="123" t="s">
        <v>7</v>
      </c>
      <c r="B14" s="123" t="s">
        <v>0</v>
      </c>
      <c r="C14" s="124" t="s">
        <v>1631</v>
      </c>
      <c r="D14" s="123" t="s">
        <v>0</v>
      </c>
      <c r="E14" s="126" t="str">
        <f ca="1">INDIRECT("Data!$H"&amp;COLUMN()+95)</f>
        <v>Not Offered</v>
      </c>
      <c r="F14" s="126" t="str">
        <f t="shared" ref="F14:J14" ca="1" si="1">INDIRECT("Data!$H"&amp;COLUMN()+95)</f>
        <v>Not Offered</v>
      </c>
      <c r="G14" s="127" t="str">
        <f t="shared" ca="1" si="1"/>
        <v>Ecosys P2235dn</v>
      </c>
      <c r="H14" s="127" t="str">
        <f t="shared" ca="1" si="1"/>
        <v>Ecosys P2235DW</v>
      </c>
      <c r="I14" s="127" t="str">
        <f t="shared" ca="1" si="1"/>
        <v>Ecosys P2040DN</v>
      </c>
      <c r="J14" s="127" t="str">
        <f t="shared" ca="1" si="1"/>
        <v>Ecosys PA 4500X</v>
      </c>
    </row>
    <row r="15" spans="1:10" ht="20.100000000000001" customHeight="1" x14ac:dyDescent="0.2">
      <c r="A15" s="130" t="s">
        <v>7</v>
      </c>
      <c r="B15" s="137" t="s">
        <v>1255</v>
      </c>
      <c r="C15" s="138" t="s">
        <v>1256</v>
      </c>
      <c r="D15" s="131">
        <v>162.80000000000001</v>
      </c>
      <c r="E15" s="121"/>
      <c r="F15" s="152"/>
      <c r="G15" s="121" t="s">
        <v>3</v>
      </c>
      <c r="H15" s="152" t="s">
        <v>3</v>
      </c>
      <c r="I15" s="121" t="s">
        <v>3</v>
      </c>
      <c r="J15" s="152" t="s">
        <v>2</v>
      </c>
    </row>
    <row r="16" spans="1:10" ht="20.100000000000001" customHeight="1" x14ac:dyDescent="0.2">
      <c r="A16" s="130" t="s">
        <v>7</v>
      </c>
      <c r="B16" s="137" t="s">
        <v>1257</v>
      </c>
      <c r="C16" s="138" t="s">
        <v>1258</v>
      </c>
      <c r="D16" s="131">
        <v>260.7</v>
      </c>
      <c r="E16" s="121"/>
      <c r="F16" s="152"/>
      <c r="G16" s="121" t="s">
        <v>3</v>
      </c>
      <c r="H16" s="152" t="s">
        <v>3</v>
      </c>
      <c r="I16" s="121" t="s">
        <v>3</v>
      </c>
      <c r="J16" s="152" t="s">
        <v>2</v>
      </c>
    </row>
    <row r="17" spans="1:10" ht="20.100000000000001" customHeight="1" x14ac:dyDescent="0.2">
      <c r="A17" s="130" t="s">
        <v>7</v>
      </c>
      <c r="B17" s="137" t="s">
        <v>1310</v>
      </c>
      <c r="C17" s="138" t="s">
        <v>1311</v>
      </c>
      <c r="D17" s="131">
        <v>270.60000000000002</v>
      </c>
      <c r="E17" s="121"/>
      <c r="F17" s="152"/>
      <c r="G17" s="121" t="s">
        <v>3</v>
      </c>
      <c r="H17" s="152" t="s">
        <v>3</v>
      </c>
      <c r="I17" s="121" t="s">
        <v>3</v>
      </c>
      <c r="J17" s="152" t="s">
        <v>2</v>
      </c>
    </row>
    <row r="18" spans="1:10" ht="20.100000000000001" customHeight="1" x14ac:dyDescent="0.2">
      <c r="A18" s="130" t="s">
        <v>7</v>
      </c>
      <c r="B18" s="137" t="s">
        <v>1312</v>
      </c>
      <c r="C18" s="138" t="s">
        <v>1313</v>
      </c>
      <c r="D18" s="131">
        <v>380.6</v>
      </c>
      <c r="E18" s="121"/>
      <c r="F18" s="152"/>
      <c r="G18" s="121" t="s">
        <v>3</v>
      </c>
      <c r="H18" s="152" t="s">
        <v>3</v>
      </c>
      <c r="I18" s="121" t="s">
        <v>3</v>
      </c>
      <c r="J18" s="152" t="s">
        <v>2</v>
      </c>
    </row>
    <row r="19" spans="1:10" ht="20.100000000000001" customHeight="1" x14ac:dyDescent="0.2">
      <c r="A19" s="130" t="s">
        <v>7</v>
      </c>
      <c r="B19" s="137" t="s">
        <v>1318</v>
      </c>
      <c r="C19" s="138" t="s">
        <v>1319</v>
      </c>
      <c r="D19" s="131">
        <v>460.9</v>
      </c>
      <c r="E19" s="121"/>
      <c r="F19" s="152"/>
      <c r="G19" s="121" t="s">
        <v>3</v>
      </c>
      <c r="H19" s="152" t="s">
        <v>3</v>
      </c>
      <c r="I19" s="121" t="s">
        <v>3</v>
      </c>
      <c r="J19" s="152" t="s">
        <v>2</v>
      </c>
    </row>
    <row r="20" spans="1:10" ht="20.100000000000001" customHeight="1" x14ac:dyDescent="0.2">
      <c r="A20" s="130" t="s">
        <v>7</v>
      </c>
      <c r="B20" s="137" t="s">
        <v>1369</v>
      </c>
      <c r="C20" s="138" t="s">
        <v>1370</v>
      </c>
      <c r="D20" s="131">
        <v>181.5</v>
      </c>
      <c r="E20" s="121"/>
      <c r="F20" s="152"/>
      <c r="G20" s="121" t="s">
        <v>2</v>
      </c>
      <c r="H20" s="152" t="s">
        <v>2</v>
      </c>
      <c r="I20" s="121" t="s">
        <v>2</v>
      </c>
      <c r="J20" s="152" t="s">
        <v>3</v>
      </c>
    </row>
    <row r="21" spans="1:10" ht="20.100000000000001" customHeight="1" x14ac:dyDescent="0.2">
      <c r="A21" s="130" t="s">
        <v>7</v>
      </c>
      <c r="B21" s="137" t="s">
        <v>1674</v>
      </c>
      <c r="C21" s="138" t="s">
        <v>1675</v>
      </c>
      <c r="D21" s="131">
        <v>205.7</v>
      </c>
      <c r="E21" s="121"/>
      <c r="F21" s="152"/>
      <c r="G21" s="121" t="s">
        <v>3</v>
      </c>
      <c r="H21" s="152" t="s">
        <v>3</v>
      </c>
      <c r="I21" s="121" t="s">
        <v>3</v>
      </c>
      <c r="J21" s="152" t="s">
        <v>2</v>
      </c>
    </row>
    <row r="22" spans="1:10" ht="20.100000000000001" customHeight="1" x14ac:dyDescent="0.2">
      <c r="A22" s="130" t="s">
        <v>7</v>
      </c>
      <c r="B22" s="137" t="s">
        <v>1676</v>
      </c>
      <c r="C22" s="138" t="s">
        <v>1677</v>
      </c>
      <c r="D22" s="131">
        <v>1082.4000000000001</v>
      </c>
      <c r="E22" s="121"/>
      <c r="F22" s="152"/>
      <c r="G22" s="121" t="s">
        <v>3</v>
      </c>
      <c r="H22" s="152" t="s">
        <v>3</v>
      </c>
      <c r="I22" s="121" t="s">
        <v>3</v>
      </c>
      <c r="J22" s="152" t="s">
        <v>2</v>
      </c>
    </row>
    <row r="23" spans="1:10" ht="20.100000000000001" customHeight="1" x14ac:dyDescent="0.2">
      <c r="A23" s="130" t="s">
        <v>7</v>
      </c>
      <c r="B23" s="137" t="s">
        <v>2422</v>
      </c>
      <c r="C23" s="138" t="s">
        <v>2423</v>
      </c>
      <c r="D23" s="131">
        <v>222.2</v>
      </c>
      <c r="E23" s="121"/>
      <c r="F23" s="152"/>
      <c r="G23" s="121" t="s">
        <v>2</v>
      </c>
      <c r="H23" s="152" t="s">
        <v>3</v>
      </c>
      <c r="I23" s="121" t="s">
        <v>3</v>
      </c>
      <c r="J23" s="152" t="s">
        <v>2</v>
      </c>
    </row>
    <row r="24" spans="1:10" ht="20.100000000000001" customHeight="1" x14ac:dyDescent="0.2">
      <c r="A24" s="130" t="s">
        <v>7</v>
      </c>
      <c r="B24" s="137" t="s">
        <v>2413</v>
      </c>
      <c r="C24" s="138" t="s">
        <v>2424</v>
      </c>
      <c r="D24" s="131">
        <v>176</v>
      </c>
      <c r="E24" s="121"/>
      <c r="F24" s="152"/>
      <c r="G24" s="121" t="s">
        <v>2</v>
      </c>
      <c r="H24" s="152" t="s">
        <v>3</v>
      </c>
      <c r="I24" s="121" t="s">
        <v>3</v>
      </c>
      <c r="J24" s="152" t="s">
        <v>2</v>
      </c>
    </row>
    <row r="25" spans="1:10" ht="20.100000000000001" customHeight="1" x14ac:dyDescent="0.2">
      <c r="A25" s="130" t="s">
        <v>7</v>
      </c>
      <c r="B25" s="137" t="s">
        <v>1678</v>
      </c>
      <c r="C25" s="138" t="s">
        <v>1679</v>
      </c>
      <c r="D25" s="131">
        <v>275</v>
      </c>
      <c r="E25" s="121"/>
      <c r="F25" s="152"/>
      <c r="G25" s="121" t="s">
        <v>3</v>
      </c>
      <c r="H25" s="152" t="s">
        <v>3</v>
      </c>
      <c r="I25" s="121" t="s">
        <v>3</v>
      </c>
      <c r="J25" s="152" t="s">
        <v>2</v>
      </c>
    </row>
    <row r="26" spans="1:10" ht="20.100000000000001" customHeight="1" x14ac:dyDescent="0.2">
      <c r="A26" s="130" t="s">
        <v>7</v>
      </c>
      <c r="B26" s="132" t="s">
        <v>1381</v>
      </c>
      <c r="C26" s="138" t="s">
        <v>1680</v>
      </c>
      <c r="D26" s="138" t="s">
        <v>2429</v>
      </c>
      <c r="E26" s="121"/>
      <c r="F26" s="152"/>
      <c r="G26" s="121" t="s">
        <v>2</v>
      </c>
      <c r="H26" s="152" t="s">
        <v>2</v>
      </c>
      <c r="I26" s="121" t="s">
        <v>2</v>
      </c>
      <c r="J26" s="152" t="s">
        <v>2</v>
      </c>
    </row>
    <row r="27" spans="1:10" ht="20.100000000000001" customHeight="1" x14ac:dyDescent="0.2">
      <c r="A27" s="130" t="s">
        <v>7</v>
      </c>
      <c r="B27" s="133" t="s">
        <v>1383</v>
      </c>
      <c r="C27" s="138" t="s">
        <v>1681</v>
      </c>
      <c r="D27" s="138" t="s">
        <v>2429</v>
      </c>
      <c r="E27" s="121"/>
      <c r="F27" s="152"/>
      <c r="G27" s="121" t="s">
        <v>3</v>
      </c>
      <c r="H27" s="152" t="s">
        <v>3</v>
      </c>
      <c r="I27" s="121" t="s">
        <v>3</v>
      </c>
      <c r="J27" s="152" t="s">
        <v>2</v>
      </c>
    </row>
    <row r="28" spans="1:10" ht="20.100000000000001" customHeight="1" x14ac:dyDescent="0.2">
      <c r="A28" s="130" t="s">
        <v>7</v>
      </c>
      <c r="B28" s="132" t="s">
        <v>2425</v>
      </c>
      <c r="C28" s="138" t="s">
        <v>2426</v>
      </c>
      <c r="D28" s="138">
        <v>144.1</v>
      </c>
      <c r="E28" s="121"/>
      <c r="F28" s="152"/>
      <c r="G28" s="121" t="s">
        <v>2</v>
      </c>
      <c r="H28" s="152" t="s">
        <v>3</v>
      </c>
      <c r="I28" s="121" t="s">
        <v>3</v>
      </c>
      <c r="J28" s="152" t="s">
        <v>2</v>
      </c>
    </row>
    <row r="29" spans="1:10" ht="20.100000000000001" customHeight="1" x14ac:dyDescent="0.2">
      <c r="A29" s="130" t="s">
        <v>7</v>
      </c>
      <c r="B29" s="132" t="s">
        <v>2427</v>
      </c>
      <c r="C29" s="138" t="s">
        <v>2428</v>
      </c>
      <c r="D29" s="138">
        <v>211.2</v>
      </c>
      <c r="E29" s="121"/>
      <c r="F29" s="152"/>
      <c r="G29" s="121" t="s">
        <v>2</v>
      </c>
      <c r="H29" s="152" t="s">
        <v>3</v>
      </c>
      <c r="I29" s="121" t="s">
        <v>3</v>
      </c>
      <c r="J29" s="152" t="s">
        <v>2</v>
      </c>
    </row>
    <row r="30" spans="1:10" ht="30" customHeight="1" x14ac:dyDescent="0.2">
      <c r="A30" s="123" t="s">
        <v>8</v>
      </c>
      <c r="B30" s="123" t="s">
        <v>0</v>
      </c>
      <c r="C30" s="124" t="s">
        <v>1631</v>
      </c>
      <c r="D30" s="128" t="s">
        <v>0</v>
      </c>
      <c r="E30" s="122" t="str">
        <f ca="1">INDIRECT("Data!$H"&amp;COLUMN()+101)</f>
        <v>P 311</v>
      </c>
      <c r="F30" s="125" t="str">
        <f t="shared" ref="F30:J30" ca="1" si="2">INDIRECT("Data!$H"&amp;COLUMN()+101)</f>
        <v>Not Offered</v>
      </c>
      <c r="G30" s="122" t="str">
        <f t="shared" ca="1" si="2"/>
        <v>SP6430DN</v>
      </c>
      <c r="H30" s="125" t="str">
        <f t="shared" ca="1" si="2"/>
        <v>Not Offered</v>
      </c>
      <c r="I30" s="122" t="str">
        <f t="shared" ca="1" si="2"/>
        <v>P 502</v>
      </c>
      <c r="J30" s="122" t="str">
        <f t="shared" ca="1" si="2"/>
        <v>P 800</v>
      </c>
    </row>
    <row r="31" spans="1:10" ht="20.100000000000001" customHeight="1" x14ac:dyDescent="0.2">
      <c r="A31" s="250" t="s">
        <v>8</v>
      </c>
      <c r="B31" s="251" t="s">
        <v>2263</v>
      </c>
      <c r="C31" s="247" t="s">
        <v>2218</v>
      </c>
      <c r="D31" s="252">
        <f>178.2*1.1</f>
        <v>196.02</v>
      </c>
      <c r="E31" s="121" t="s">
        <v>2</v>
      </c>
      <c r="F31" s="152"/>
      <c r="G31" s="152" t="s">
        <v>3</v>
      </c>
      <c r="H31" s="152"/>
      <c r="I31" s="152" t="s">
        <v>3</v>
      </c>
      <c r="J31" s="121" t="s">
        <v>3</v>
      </c>
    </row>
    <row r="32" spans="1:10" ht="20.100000000000001" customHeight="1" x14ac:dyDescent="0.2">
      <c r="A32" s="250" t="s">
        <v>8</v>
      </c>
      <c r="B32" s="251" t="s">
        <v>2264</v>
      </c>
      <c r="C32" s="247" t="s">
        <v>2265</v>
      </c>
      <c r="D32" s="252">
        <f>145.8*1.1</f>
        <v>160.38000000000002</v>
      </c>
      <c r="E32" s="121" t="s">
        <v>3</v>
      </c>
      <c r="F32" s="152"/>
      <c r="G32" s="152" t="s">
        <v>3</v>
      </c>
      <c r="H32" s="152"/>
      <c r="I32" s="152" t="s">
        <v>2</v>
      </c>
      <c r="J32" s="121" t="s">
        <v>3</v>
      </c>
    </row>
    <row r="33" spans="1:10" ht="20.100000000000001" customHeight="1" x14ac:dyDescent="0.2">
      <c r="A33" s="250" t="s">
        <v>8</v>
      </c>
      <c r="B33" s="251" t="s">
        <v>2266</v>
      </c>
      <c r="C33" s="247" t="s">
        <v>2267</v>
      </c>
      <c r="D33" s="252">
        <f>191.16*1.1</f>
        <v>210.27600000000001</v>
      </c>
      <c r="E33" s="121" t="s">
        <v>3</v>
      </c>
      <c r="F33" s="152"/>
      <c r="G33" s="152" t="s">
        <v>3</v>
      </c>
      <c r="H33" s="152"/>
      <c r="I33" s="152" t="s">
        <v>2</v>
      </c>
      <c r="J33" s="121" t="s">
        <v>3</v>
      </c>
    </row>
    <row r="34" spans="1:10" ht="20.100000000000001" customHeight="1" x14ac:dyDescent="0.2">
      <c r="A34" s="250" t="s">
        <v>8</v>
      </c>
      <c r="B34" s="251" t="s">
        <v>2215</v>
      </c>
      <c r="C34" s="247" t="s">
        <v>2214</v>
      </c>
      <c r="D34" s="252">
        <f>282.96*1.1</f>
        <v>311.25600000000003</v>
      </c>
      <c r="E34" s="121" t="s">
        <v>3</v>
      </c>
      <c r="F34" s="152"/>
      <c r="G34" s="152" t="s">
        <v>3</v>
      </c>
      <c r="H34" s="152"/>
      <c r="I34" s="152" t="s">
        <v>3</v>
      </c>
      <c r="J34" s="121" t="s">
        <v>2</v>
      </c>
    </row>
    <row r="35" spans="1:10" ht="20.100000000000001" customHeight="1" x14ac:dyDescent="0.2">
      <c r="A35" s="250" t="s">
        <v>8</v>
      </c>
      <c r="B35" s="251" t="s">
        <v>2268</v>
      </c>
      <c r="C35" s="247" t="s">
        <v>2269</v>
      </c>
      <c r="D35" s="252">
        <f>367.87*1.1</f>
        <v>404.65700000000004</v>
      </c>
      <c r="E35" s="121" t="s">
        <v>3</v>
      </c>
      <c r="F35" s="152"/>
      <c r="G35" s="152" t="s">
        <v>3</v>
      </c>
      <c r="H35" s="152"/>
      <c r="I35" s="152" t="s">
        <v>2</v>
      </c>
      <c r="J35" s="121" t="s">
        <v>3</v>
      </c>
    </row>
    <row r="36" spans="1:10" ht="20.100000000000001" customHeight="1" x14ac:dyDescent="0.2">
      <c r="A36" s="250" t="s">
        <v>8</v>
      </c>
      <c r="B36" s="251" t="s">
        <v>2270</v>
      </c>
      <c r="C36" s="247" t="s">
        <v>2271</v>
      </c>
      <c r="D36" s="252">
        <f>180.14*1.1</f>
        <v>198.154</v>
      </c>
      <c r="E36" s="121" t="s">
        <v>3</v>
      </c>
      <c r="F36" s="152"/>
      <c r="G36" s="152" t="s">
        <v>3</v>
      </c>
      <c r="H36" s="152"/>
      <c r="I36" s="152" t="s">
        <v>3</v>
      </c>
      <c r="J36" s="121" t="s">
        <v>3</v>
      </c>
    </row>
    <row r="37" spans="1:10" ht="20.100000000000001" customHeight="1" x14ac:dyDescent="0.2">
      <c r="A37" s="250" t="s">
        <v>8</v>
      </c>
      <c r="B37" s="251" t="s">
        <v>2272</v>
      </c>
      <c r="C37" s="247" t="s">
        <v>2273</v>
      </c>
      <c r="D37" s="252">
        <f>442.26*1.1</f>
        <v>486.48600000000005</v>
      </c>
      <c r="E37" s="121" t="s">
        <v>3</v>
      </c>
      <c r="F37" s="152"/>
      <c r="G37" s="152" t="s">
        <v>3</v>
      </c>
      <c r="H37" s="152"/>
      <c r="I37" s="152" t="s">
        <v>2</v>
      </c>
      <c r="J37" s="121" t="s">
        <v>3</v>
      </c>
    </row>
    <row r="38" spans="1:10" ht="20.100000000000001" customHeight="1" x14ac:dyDescent="0.2">
      <c r="A38" s="250" t="s">
        <v>8</v>
      </c>
      <c r="B38" s="251" t="s">
        <v>2274</v>
      </c>
      <c r="C38" s="247" t="s">
        <v>2275</v>
      </c>
      <c r="D38" s="252">
        <f>192.24*1.1</f>
        <v>211.46400000000003</v>
      </c>
      <c r="E38" s="121" t="s">
        <v>3</v>
      </c>
      <c r="F38" s="152"/>
      <c r="G38" s="152" t="s">
        <v>3</v>
      </c>
      <c r="H38" s="152"/>
      <c r="I38" s="152" t="s">
        <v>3</v>
      </c>
      <c r="J38" s="121" t="s">
        <v>2</v>
      </c>
    </row>
    <row r="39" spans="1:10" ht="20.100000000000001" customHeight="1" x14ac:dyDescent="0.2">
      <c r="A39" s="254" t="s">
        <v>8</v>
      </c>
      <c r="B39" s="255" t="s">
        <v>0</v>
      </c>
      <c r="C39" s="253" t="s">
        <v>1654</v>
      </c>
      <c r="D39" s="256">
        <v>0</v>
      </c>
      <c r="E39" s="152" t="s">
        <v>1762</v>
      </c>
      <c r="F39" s="152"/>
      <c r="G39" s="152" t="s">
        <v>1762</v>
      </c>
      <c r="H39" s="152"/>
      <c r="I39" s="152" t="s">
        <v>1762</v>
      </c>
      <c r="J39" s="152" t="s">
        <v>1762</v>
      </c>
    </row>
    <row r="40" spans="1:10" ht="20.100000000000001" customHeight="1" x14ac:dyDescent="0.2">
      <c r="A40" s="254" t="s">
        <v>8</v>
      </c>
      <c r="B40" s="255" t="s">
        <v>0</v>
      </c>
      <c r="C40" s="253" t="s">
        <v>1655</v>
      </c>
      <c r="D40" s="256">
        <v>0</v>
      </c>
      <c r="E40" s="152" t="s">
        <v>1762</v>
      </c>
      <c r="F40" s="152"/>
      <c r="G40" s="152" t="s">
        <v>1762</v>
      </c>
      <c r="H40" s="152"/>
      <c r="I40" s="152" t="s">
        <v>1762</v>
      </c>
      <c r="J40" s="152" t="s">
        <v>1762</v>
      </c>
    </row>
    <row r="41" spans="1:10" ht="24.75" customHeight="1" x14ac:dyDescent="0.2">
      <c r="A41" s="254" t="s">
        <v>8</v>
      </c>
      <c r="B41" s="255" t="s">
        <v>0</v>
      </c>
      <c r="C41" s="253" t="s">
        <v>1656</v>
      </c>
      <c r="D41" s="256">
        <v>0</v>
      </c>
      <c r="E41" s="152" t="s">
        <v>1762</v>
      </c>
      <c r="F41" s="152"/>
      <c r="G41" s="152" t="s">
        <v>1762</v>
      </c>
      <c r="H41" s="152"/>
      <c r="I41" s="121" t="s">
        <v>1762</v>
      </c>
      <c r="J41" s="152" t="s">
        <v>1762</v>
      </c>
    </row>
  </sheetData>
  <sheetProtection formatCells="0" formatColumns="0" formatRows="0" sort="0" autoFilter="0"/>
  <autoFilter ref="A5:J41" xr:uid="{00000000-0009-0000-0000-00000A000000}"/>
  <mergeCells count="3">
    <mergeCell ref="A2:J2"/>
    <mergeCell ref="A1:J1"/>
    <mergeCell ref="A3:J3"/>
  </mergeCells>
  <conditionalFormatting sqref="A31:D41">
    <cfRule type="expression" dxfId="47" priority="7">
      <formula>$B31="NEW"</formula>
    </cfRule>
    <cfRule type="expression" dxfId="46" priority="8">
      <formula>$B31="DELETE"</formula>
    </cfRule>
  </conditionalFormatting>
  <conditionalFormatting sqref="E31:E38">
    <cfRule type="expression" dxfId="45" priority="5">
      <formula>$B31="NEW"</formula>
    </cfRule>
    <cfRule type="expression" dxfId="44" priority="6">
      <formula>$B31="DELETE"</formula>
    </cfRule>
  </conditionalFormatting>
  <conditionalFormatting sqref="E7:J13">
    <cfRule type="expression" dxfId="43" priority="11">
      <formula>E$6="Not Offered"</formula>
    </cfRule>
  </conditionalFormatting>
  <conditionalFormatting sqref="E15:J29">
    <cfRule type="expression" dxfId="42" priority="10">
      <formula>E$14="Not Offered"</formula>
    </cfRule>
  </conditionalFormatting>
  <conditionalFormatting sqref="F31:F38 H31:H38 E39:J41">
    <cfRule type="expression" dxfId="41" priority="9">
      <formula>E$30="Not Offered"</formula>
    </cfRule>
  </conditionalFormatting>
  <conditionalFormatting sqref="G31:G38">
    <cfRule type="expression" dxfId="40" priority="3">
      <formula>$B31="NEW"</formula>
    </cfRule>
    <cfRule type="expression" dxfId="39" priority="4">
      <formula>$B31="DELETE"</formula>
    </cfRule>
  </conditionalFormatting>
  <conditionalFormatting sqref="I31:J38">
    <cfRule type="expression" dxfId="38" priority="1">
      <formula>$B31="NEW"</formula>
    </cfRule>
    <cfRule type="expression" dxfId="37" priority="2">
      <formula>$B31="DELETE"</formula>
    </cfRule>
  </conditionalFormatting>
  <hyperlinks>
    <hyperlink ref="A3:J3" r:id="rId1" display="Please refer to the User Guide for further information here" xr:uid="{00000000-0004-0000-0A00-000000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7DA063"/>
  </sheetPr>
  <dimension ref="A1:G32"/>
  <sheetViews>
    <sheetView zoomScale="90" zoomScaleNormal="90" workbookViewId="0">
      <selection activeCell="C23" sqref="C23"/>
    </sheetView>
  </sheetViews>
  <sheetFormatPr defaultColWidth="9.140625" defaultRowHeight="20.100000000000001" customHeight="1" x14ac:dyDescent="0.2"/>
  <cols>
    <col min="1" max="1" width="29.140625" style="1" customWidth="1"/>
    <col min="2" max="2" width="30.28515625" style="1" customWidth="1"/>
    <col min="3" max="3" width="58.28515625" style="1" customWidth="1"/>
    <col min="4" max="4" width="16.7109375" style="1" customWidth="1"/>
    <col min="5" max="5" width="10.5703125" style="1" customWidth="1"/>
    <col min="6" max="6" width="17" style="1" customWidth="1"/>
    <col min="7" max="7" width="76" style="1" customWidth="1"/>
    <col min="8" max="16384" width="9.140625" style="1"/>
  </cols>
  <sheetData>
    <row r="1" spans="1:7" ht="20.100000000000001" customHeight="1" x14ac:dyDescent="0.2">
      <c r="A1" s="376" t="s">
        <v>1707</v>
      </c>
      <c r="B1" s="377"/>
      <c r="C1" s="377"/>
      <c r="D1" s="377"/>
      <c r="E1" s="377"/>
      <c r="F1" s="377"/>
      <c r="G1" s="378"/>
    </row>
    <row r="2" spans="1:7" ht="20.100000000000001" customHeight="1" x14ac:dyDescent="0.2">
      <c r="A2" s="379" t="s">
        <v>1770</v>
      </c>
      <c r="B2" s="380"/>
      <c r="C2" s="380"/>
      <c r="D2" s="380"/>
      <c r="E2" s="380"/>
      <c r="F2" s="380"/>
      <c r="G2" s="380"/>
    </row>
    <row r="3" spans="1:7" ht="20.100000000000001" customHeight="1" x14ac:dyDescent="0.2">
      <c r="A3" s="419" t="s">
        <v>1806</v>
      </c>
      <c r="B3" s="420"/>
      <c r="C3" s="420"/>
      <c r="D3" s="420"/>
      <c r="E3" s="420"/>
      <c r="F3" s="420"/>
      <c r="G3" s="420"/>
    </row>
    <row r="4" spans="1:7" ht="9.9499999999999993" customHeight="1" x14ac:dyDescent="0.2"/>
    <row r="5" spans="1:7" ht="32.25" customHeight="1" x14ac:dyDescent="0.2">
      <c r="A5" s="70" t="s">
        <v>42</v>
      </c>
      <c r="B5" s="70" t="s">
        <v>953</v>
      </c>
      <c r="C5" s="70" t="s">
        <v>954</v>
      </c>
      <c r="D5" s="70" t="s">
        <v>1089</v>
      </c>
      <c r="E5" s="70" t="s">
        <v>1248</v>
      </c>
      <c r="F5" s="70" t="s">
        <v>1249</v>
      </c>
      <c r="G5" s="70" t="s">
        <v>942</v>
      </c>
    </row>
    <row r="6" spans="1:7" ht="20.100000000000001" customHeight="1" x14ac:dyDescent="0.2">
      <c r="A6" s="144" t="s">
        <v>2013</v>
      </c>
      <c r="B6" s="144" t="s">
        <v>955</v>
      </c>
      <c r="C6" s="13" t="s">
        <v>2015</v>
      </c>
      <c r="D6" s="84">
        <v>211.2</v>
      </c>
      <c r="E6" s="83">
        <v>0.2</v>
      </c>
      <c r="F6" s="61">
        <v>253.43999999999997</v>
      </c>
      <c r="G6" s="13" t="s">
        <v>956</v>
      </c>
    </row>
    <row r="7" spans="1:7" ht="20.100000000000001" customHeight="1" x14ac:dyDescent="0.2">
      <c r="A7" s="144" t="s">
        <v>2013</v>
      </c>
      <c r="B7" s="144" t="s">
        <v>957</v>
      </c>
      <c r="C7" s="13" t="s">
        <v>958</v>
      </c>
      <c r="D7" s="84">
        <v>223</v>
      </c>
      <c r="E7" s="83">
        <v>0.2</v>
      </c>
      <c r="F7" s="61">
        <v>267.60000000000002</v>
      </c>
      <c r="G7" s="13" t="s">
        <v>956</v>
      </c>
    </row>
    <row r="8" spans="1:7" ht="20.100000000000001" customHeight="1" x14ac:dyDescent="0.2">
      <c r="A8" s="144" t="s">
        <v>2013</v>
      </c>
      <c r="B8" s="144" t="s">
        <v>959</v>
      </c>
      <c r="C8" s="13" t="s">
        <v>960</v>
      </c>
      <c r="D8" s="84">
        <v>223</v>
      </c>
      <c r="E8" s="83">
        <v>0.2</v>
      </c>
      <c r="F8" s="61">
        <v>267.60000000000002</v>
      </c>
      <c r="G8" s="13" t="s">
        <v>956</v>
      </c>
    </row>
    <row r="9" spans="1:7" ht="25.5" x14ac:dyDescent="0.2">
      <c r="A9" s="144" t="s">
        <v>10</v>
      </c>
      <c r="B9" s="144" t="s">
        <v>959</v>
      </c>
      <c r="C9" s="13" t="s">
        <v>961</v>
      </c>
      <c r="D9" s="84">
        <v>250</v>
      </c>
      <c r="E9" s="83">
        <v>0.15</v>
      </c>
      <c r="F9" s="61">
        <v>295</v>
      </c>
      <c r="G9" s="13" t="s">
        <v>962</v>
      </c>
    </row>
    <row r="10" spans="1:7" ht="24.95" customHeight="1" x14ac:dyDescent="0.2">
      <c r="A10" s="144" t="s">
        <v>10</v>
      </c>
      <c r="B10" s="144" t="s">
        <v>959</v>
      </c>
      <c r="C10" s="13" t="s">
        <v>963</v>
      </c>
      <c r="D10" s="84">
        <v>200</v>
      </c>
      <c r="E10" s="83">
        <v>0.15</v>
      </c>
      <c r="F10" s="61">
        <v>240</v>
      </c>
      <c r="G10" s="13" t="s">
        <v>964</v>
      </c>
    </row>
    <row r="11" spans="1:7" ht="25.5" x14ac:dyDescent="0.2">
      <c r="A11" s="144" t="s">
        <v>10</v>
      </c>
      <c r="B11" s="144" t="s">
        <v>959</v>
      </c>
      <c r="C11" s="13" t="s">
        <v>965</v>
      </c>
      <c r="D11" s="84">
        <v>170</v>
      </c>
      <c r="E11" s="83">
        <v>0.15</v>
      </c>
      <c r="F11" s="61">
        <v>200</v>
      </c>
      <c r="G11" s="13" t="s">
        <v>966</v>
      </c>
    </row>
    <row r="12" spans="1:7" ht="20.100000000000001" customHeight="1" x14ac:dyDescent="0.2">
      <c r="A12" s="144" t="s">
        <v>10</v>
      </c>
      <c r="B12" s="144" t="s">
        <v>957</v>
      </c>
      <c r="C12" s="13" t="s">
        <v>949</v>
      </c>
      <c r="D12" s="84">
        <v>250</v>
      </c>
      <c r="E12" s="83">
        <v>0.15</v>
      </c>
      <c r="F12" s="61">
        <v>295</v>
      </c>
      <c r="G12" s="13" t="s">
        <v>967</v>
      </c>
    </row>
    <row r="13" spans="1:7" ht="20.100000000000001" customHeight="1" x14ac:dyDescent="0.2">
      <c r="A13" s="144" t="s">
        <v>10</v>
      </c>
      <c r="B13" s="144" t="s">
        <v>957</v>
      </c>
      <c r="C13" s="13" t="s">
        <v>968</v>
      </c>
      <c r="D13" s="84">
        <v>220</v>
      </c>
      <c r="E13" s="83">
        <v>0.15</v>
      </c>
      <c r="F13" s="61">
        <v>260</v>
      </c>
      <c r="G13" s="13" t="s">
        <v>969</v>
      </c>
    </row>
    <row r="14" spans="1:7" ht="20.100000000000001" customHeight="1" x14ac:dyDescent="0.2">
      <c r="A14" s="144" t="s">
        <v>10</v>
      </c>
      <c r="B14" s="144" t="s">
        <v>957</v>
      </c>
      <c r="C14" s="13" t="s">
        <v>970</v>
      </c>
      <c r="D14" s="84">
        <v>220</v>
      </c>
      <c r="E14" s="83">
        <v>0.15</v>
      </c>
      <c r="F14" s="61">
        <v>260</v>
      </c>
      <c r="G14" s="13" t="s">
        <v>971</v>
      </c>
    </row>
    <row r="15" spans="1:7" ht="20.100000000000001" customHeight="1" x14ac:dyDescent="0.2">
      <c r="A15" s="144" t="s">
        <v>10</v>
      </c>
      <c r="B15" s="144" t="s">
        <v>957</v>
      </c>
      <c r="C15" s="13" t="s">
        <v>972</v>
      </c>
      <c r="D15" s="84">
        <v>250</v>
      </c>
      <c r="E15" s="83">
        <v>0.15</v>
      </c>
      <c r="F15" s="61">
        <v>295</v>
      </c>
      <c r="G15" s="13" t="s">
        <v>973</v>
      </c>
    </row>
    <row r="16" spans="1:7" ht="20.100000000000001" customHeight="1" x14ac:dyDescent="0.2">
      <c r="A16" s="144" t="s">
        <v>10</v>
      </c>
      <c r="B16" s="144" t="s">
        <v>957</v>
      </c>
      <c r="C16" s="13" t="s">
        <v>974</v>
      </c>
      <c r="D16" s="84">
        <v>200</v>
      </c>
      <c r="E16" s="83">
        <v>0.15</v>
      </c>
      <c r="F16" s="61">
        <v>240</v>
      </c>
      <c r="G16" s="13" t="s">
        <v>975</v>
      </c>
    </row>
    <row r="17" spans="1:7" ht="20.100000000000001" customHeight="1" x14ac:dyDescent="0.2">
      <c r="A17" s="144" t="s">
        <v>10</v>
      </c>
      <c r="B17" s="144" t="s">
        <v>976</v>
      </c>
      <c r="C17" s="13" t="s">
        <v>977</v>
      </c>
      <c r="D17" s="84">
        <v>125</v>
      </c>
      <c r="E17" s="83">
        <v>0.15</v>
      </c>
      <c r="F17" s="61">
        <v>150</v>
      </c>
      <c r="G17" s="13" t="s">
        <v>978</v>
      </c>
    </row>
    <row r="18" spans="1:7" ht="20.100000000000001" customHeight="1" x14ac:dyDescent="0.2">
      <c r="A18" s="144" t="s">
        <v>10</v>
      </c>
      <c r="B18" s="144" t="s">
        <v>979</v>
      </c>
      <c r="C18" s="13" t="s">
        <v>980</v>
      </c>
      <c r="D18" s="84">
        <v>140</v>
      </c>
      <c r="E18" s="83">
        <v>0.15</v>
      </c>
      <c r="F18" s="61">
        <v>170</v>
      </c>
      <c r="G18" s="13" t="s">
        <v>981</v>
      </c>
    </row>
    <row r="19" spans="1:7" ht="20.100000000000001" customHeight="1" x14ac:dyDescent="0.2">
      <c r="A19" s="144" t="s">
        <v>10</v>
      </c>
      <c r="B19" s="144" t="s">
        <v>979</v>
      </c>
      <c r="C19" s="13" t="s">
        <v>982</v>
      </c>
      <c r="D19" s="84">
        <v>90</v>
      </c>
      <c r="E19" s="83">
        <v>0.15</v>
      </c>
      <c r="F19" s="61">
        <v>106</v>
      </c>
      <c r="G19" s="13" t="s">
        <v>983</v>
      </c>
    </row>
    <row r="20" spans="1:7" ht="20.100000000000001" customHeight="1" x14ac:dyDescent="0.2">
      <c r="A20" s="144" t="s">
        <v>7</v>
      </c>
      <c r="B20" s="144" t="s">
        <v>985</v>
      </c>
      <c r="C20" s="13" t="s">
        <v>986</v>
      </c>
      <c r="D20" s="84">
        <v>220</v>
      </c>
      <c r="E20" s="83">
        <v>0.2</v>
      </c>
      <c r="F20" s="61">
        <v>275</v>
      </c>
      <c r="G20" s="13" t="s">
        <v>987</v>
      </c>
    </row>
    <row r="21" spans="1:7" ht="25.5" x14ac:dyDescent="0.2">
      <c r="A21" s="144" t="s">
        <v>7</v>
      </c>
      <c r="B21" s="144" t="s">
        <v>988</v>
      </c>
      <c r="C21" s="13" t="s">
        <v>989</v>
      </c>
      <c r="D21" s="84">
        <v>220</v>
      </c>
      <c r="E21" s="83">
        <v>0.2</v>
      </c>
      <c r="F21" s="61">
        <v>275</v>
      </c>
      <c r="G21" s="13"/>
    </row>
    <row r="22" spans="1:7" ht="20.100000000000001" customHeight="1" x14ac:dyDescent="0.2">
      <c r="A22" s="144" t="s">
        <v>7</v>
      </c>
      <c r="B22" s="144" t="s">
        <v>990</v>
      </c>
      <c r="C22" s="13" t="s">
        <v>991</v>
      </c>
      <c r="D22" s="84">
        <v>140.80000000000001</v>
      </c>
      <c r="E22" s="83">
        <v>0.2</v>
      </c>
      <c r="F22" s="61">
        <v>176</v>
      </c>
      <c r="G22" s="13"/>
    </row>
    <row r="23" spans="1:7" ht="20.100000000000001" customHeight="1" x14ac:dyDescent="0.2">
      <c r="A23" s="144" t="s">
        <v>7</v>
      </c>
      <c r="B23" s="144" t="s">
        <v>992</v>
      </c>
      <c r="C23" s="13" t="s">
        <v>993</v>
      </c>
      <c r="D23" s="84">
        <v>203.5</v>
      </c>
      <c r="E23" s="83">
        <v>0.26</v>
      </c>
      <c r="F23" s="61">
        <v>275</v>
      </c>
      <c r="G23" s="13"/>
    </row>
    <row r="24" spans="1:7" ht="20.100000000000001" customHeight="1" x14ac:dyDescent="0.2">
      <c r="A24" s="144" t="s">
        <v>7</v>
      </c>
      <c r="B24" s="144" t="s">
        <v>994</v>
      </c>
      <c r="C24" s="13" t="s">
        <v>1234</v>
      </c>
      <c r="D24" s="84">
        <v>176</v>
      </c>
      <c r="E24" s="83">
        <v>0.36</v>
      </c>
      <c r="F24" s="61">
        <v>275</v>
      </c>
      <c r="G24" s="13"/>
    </row>
    <row r="25" spans="1:7" ht="20.100000000000001" customHeight="1" x14ac:dyDescent="0.2">
      <c r="A25" s="144" t="s">
        <v>8</v>
      </c>
      <c r="B25" s="144" t="s">
        <v>943</v>
      </c>
      <c r="C25" s="13" t="s">
        <v>944</v>
      </c>
      <c r="D25" s="84">
        <v>187</v>
      </c>
      <c r="E25" s="83">
        <v>0.15</v>
      </c>
      <c r="F25" s="61">
        <v>220</v>
      </c>
      <c r="G25" s="13"/>
    </row>
    <row r="26" spans="1:7" ht="20.100000000000001" customHeight="1" x14ac:dyDescent="0.2">
      <c r="A26" s="144" t="s">
        <v>8</v>
      </c>
      <c r="B26" s="144" t="s">
        <v>945</v>
      </c>
      <c r="C26" s="13" t="s">
        <v>946</v>
      </c>
      <c r="D26" s="84">
        <v>198.44</v>
      </c>
      <c r="E26" s="83">
        <v>0.18</v>
      </c>
      <c r="F26" s="61">
        <v>242</v>
      </c>
      <c r="G26" s="13"/>
    </row>
    <row r="27" spans="1:7" ht="20.100000000000001" customHeight="1" x14ac:dyDescent="0.2">
      <c r="A27" s="144" t="s">
        <v>8</v>
      </c>
      <c r="B27" s="144" t="s">
        <v>947</v>
      </c>
      <c r="C27" s="13" t="s">
        <v>947</v>
      </c>
      <c r="D27" s="84">
        <v>198</v>
      </c>
      <c r="E27" s="83">
        <v>0.1</v>
      </c>
      <c r="F27" s="61">
        <v>220</v>
      </c>
      <c r="G27" s="13"/>
    </row>
    <row r="28" spans="1:7" ht="20.100000000000001" customHeight="1" x14ac:dyDescent="0.2">
      <c r="A28" s="144" t="s">
        <v>8</v>
      </c>
      <c r="B28" s="144" t="s">
        <v>948</v>
      </c>
      <c r="C28" s="13" t="s">
        <v>948</v>
      </c>
      <c r="D28" s="84">
        <v>132.44</v>
      </c>
      <c r="E28" s="83">
        <v>0.14000000000000001</v>
      </c>
      <c r="F28" s="61">
        <v>154</v>
      </c>
      <c r="G28" s="13"/>
    </row>
    <row r="29" spans="1:7" ht="20.100000000000001" customHeight="1" x14ac:dyDescent="0.2">
      <c r="A29" s="144" t="s">
        <v>8</v>
      </c>
      <c r="B29" s="144" t="s">
        <v>949</v>
      </c>
      <c r="C29" s="13" t="s">
        <v>949</v>
      </c>
      <c r="D29" s="84">
        <v>257.39999999999998</v>
      </c>
      <c r="E29" s="83">
        <v>0.1</v>
      </c>
      <c r="F29" s="61">
        <v>286</v>
      </c>
      <c r="G29" s="13"/>
    </row>
    <row r="30" spans="1:7" ht="20.100000000000001" customHeight="1" x14ac:dyDescent="0.2">
      <c r="A30" s="144" t="s">
        <v>8</v>
      </c>
      <c r="B30" s="144" t="s">
        <v>950</v>
      </c>
      <c r="C30" s="13" t="s">
        <v>1235</v>
      </c>
      <c r="D30" s="84">
        <v>205.7</v>
      </c>
      <c r="E30" s="83">
        <v>0.15</v>
      </c>
      <c r="F30" s="61">
        <v>242</v>
      </c>
      <c r="G30" s="13"/>
    </row>
    <row r="31" spans="1:7" ht="20.100000000000001" customHeight="1" x14ac:dyDescent="0.2">
      <c r="A31" s="144" t="s">
        <v>8</v>
      </c>
      <c r="B31" s="144" t="s">
        <v>951</v>
      </c>
      <c r="C31" s="13" t="s">
        <v>1236</v>
      </c>
      <c r="D31" s="84">
        <v>205.7</v>
      </c>
      <c r="E31" s="83">
        <v>0.15</v>
      </c>
      <c r="F31" s="61">
        <v>242</v>
      </c>
      <c r="G31" s="13"/>
    </row>
    <row r="32" spans="1:7" ht="20.100000000000001" customHeight="1" x14ac:dyDescent="0.2">
      <c r="A32" s="144" t="s">
        <v>8</v>
      </c>
      <c r="B32" s="144" t="s">
        <v>952</v>
      </c>
      <c r="C32" s="13" t="s">
        <v>1237</v>
      </c>
      <c r="D32" s="84">
        <v>205.7</v>
      </c>
      <c r="E32" s="83">
        <v>0.15</v>
      </c>
      <c r="F32" s="61">
        <v>242</v>
      </c>
      <c r="G32" s="13"/>
    </row>
  </sheetData>
  <sheetProtection algorithmName="SHA-512" hashValue="sElK9MirHOSg3AnUnjhoYWzohu67PstfuSAHmPkAQUyhhyfYqO6Zip0UBMusYYQr81V9+DKxYtiTId5pimvnBg==" saltValue="lcr4OjOEJ4AWB83WKrQBkw==" spinCount="100000" sheet="1" formatCells="0" formatColumns="0" formatRows="0" sort="0" autoFilter="0" pivotTables="0"/>
  <autoFilter ref="A5:G32" xr:uid="{00000000-0009-0000-0000-00000B000000}"/>
  <mergeCells count="3">
    <mergeCell ref="A1:G1"/>
    <mergeCell ref="A2:G2"/>
    <mergeCell ref="A3:G3"/>
  </mergeCells>
  <hyperlinks>
    <hyperlink ref="A3:G3" r:id="rId1" display="Please refer to the User Guide for further information here"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7DA063"/>
  </sheetPr>
  <dimension ref="A1:J110"/>
  <sheetViews>
    <sheetView zoomScale="95" zoomScaleNormal="95" workbookViewId="0">
      <selection activeCell="E13" sqref="E13"/>
    </sheetView>
  </sheetViews>
  <sheetFormatPr defaultColWidth="9.140625" defaultRowHeight="20.100000000000001" customHeight="1" x14ac:dyDescent="0.2"/>
  <cols>
    <col min="1" max="1" width="28.42578125" style="1" customWidth="1"/>
    <col min="2" max="2" width="33" style="1" customWidth="1"/>
    <col min="3" max="3" width="47.42578125" style="1" customWidth="1"/>
    <col min="4" max="4" width="13.28515625" style="1" customWidth="1"/>
    <col min="5" max="5" width="23.28515625" style="1" customWidth="1"/>
    <col min="6" max="6" width="12.42578125" style="1" customWidth="1"/>
    <col min="7" max="7" width="11" style="90" customWidth="1"/>
    <col min="8" max="8" width="59.7109375" style="1" customWidth="1"/>
    <col min="9" max="9" width="52.140625" style="1" customWidth="1"/>
    <col min="10" max="10" width="68.7109375" style="1" customWidth="1"/>
    <col min="11" max="16384" width="9.140625" style="1"/>
  </cols>
  <sheetData>
    <row r="1" spans="1:10" ht="20.100000000000001" customHeight="1" x14ac:dyDescent="0.2">
      <c r="A1" s="376" t="s">
        <v>1768</v>
      </c>
      <c r="B1" s="377"/>
      <c r="C1" s="377"/>
      <c r="D1" s="377"/>
      <c r="E1" s="377"/>
      <c r="F1" s="377"/>
      <c r="G1" s="377"/>
      <c r="H1" s="377"/>
      <c r="I1" s="377"/>
      <c r="J1" s="377"/>
    </row>
    <row r="2" spans="1:10" ht="17.45" customHeight="1" x14ac:dyDescent="0.2">
      <c r="A2" s="379" t="s">
        <v>1769</v>
      </c>
      <c r="B2" s="380"/>
      <c r="C2" s="380"/>
      <c r="D2" s="380"/>
      <c r="E2" s="380"/>
      <c r="F2" s="380"/>
      <c r="G2" s="380"/>
      <c r="H2" s="380"/>
      <c r="I2" s="380"/>
      <c r="J2" s="438"/>
    </row>
    <row r="3" spans="1:10" ht="17.45" customHeight="1" x14ac:dyDescent="0.2">
      <c r="A3" s="419" t="s">
        <v>1806</v>
      </c>
      <c r="B3" s="420"/>
      <c r="C3" s="420"/>
      <c r="D3" s="420"/>
      <c r="E3" s="420"/>
      <c r="F3" s="420"/>
      <c r="G3" s="420"/>
      <c r="H3" s="420"/>
      <c r="I3" s="420"/>
      <c r="J3" s="439"/>
    </row>
    <row r="4" spans="1:10" ht="9.9499999999999993" customHeight="1" x14ac:dyDescent="0.2"/>
    <row r="5" spans="1:10" ht="20.100000000000001" customHeight="1" x14ac:dyDescent="0.2">
      <c r="A5" s="376" t="s">
        <v>995</v>
      </c>
      <c r="B5" s="452"/>
      <c r="C5" s="452"/>
      <c r="D5" s="452"/>
      <c r="E5" s="452"/>
      <c r="F5" s="452"/>
      <c r="G5" s="452"/>
      <c r="H5" s="452"/>
      <c r="I5" s="452"/>
      <c r="J5" s="453"/>
    </row>
    <row r="6" spans="1:10" ht="25.5" x14ac:dyDescent="0.2">
      <c r="A6" s="87" t="s">
        <v>42</v>
      </c>
      <c r="B6" s="87" t="s">
        <v>72</v>
      </c>
      <c r="C6" s="87" t="s">
        <v>1016</v>
      </c>
      <c r="D6" s="87" t="s">
        <v>1017</v>
      </c>
      <c r="E6" s="87" t="s">
        <v>1018</v>
      </c>
      <c r="F6" s="87" t="s">
        <v>1710</v>
      </c>
      <c r="G6" s="88" t="s">
        <v>1048</v>
      </c>
      <c r="H6" s="87" t="s">
        <v>1047</v>
      </c>
      <c r="I6" s="87" t="s">
        <v>1046</v>
      </c>
      <c r="J6" s="87" t="s">
        <v>942</v>
      </c>
    </row>
    <row r="7" spans="1:10" ht="38.25" x14ac:dyDescent="0.2">
      <c r="A7" s="13" t="s">
        <v>2013</v>
      </c>
      <c r="B7" s="13" t="s">
        <v>1049</v>
      </c>
      <c r="C7" s="13" t="s">
        <v>1050</v>
      </c>
      <c r="D7" s="86" t="s">
        <v>998</v>
      </c>
      <c r="E7" s="86" t="s">
        <v>1164</v>
      </c>
      <c r="F7" s="145">
        <v>4884.880000000001</v>
      </c>
      <c r="G7" s="89">
        <v>0.57155812831644959</v>
      </c>
      <c r="H7" s="86" t="s">
        <v>1051</v>
      </c>
      <c r="I7" s="86" t="s">
        <v>2016</v>
      </c>
      <c r="J7" s="454" t="s">
        <v>1052</v>
      </c>
    </row>
    <row r="8" spans="1:10" ht="38.25" x14ac:dyDescent="0.2">
      <c r="A8" s="13" t="s">
        <v>2013</v>
      </c>
      <c r="B8" s="86" t="s">
        <v>1054</v>
      </c>
      <c r="C8" s="86" t="s">
        <v>1050</v>
      </c>
      <c r="D8" s="86" t="s">
        <v>998</v>
      </c>
      <c r="E8" s="86" t="s">
        <v>1164</v>
      </c>
      <c r="F8" s="145">
        <v>6954.6400000000012</v>
      </c>
      <c r="G8" s="89">
        <v>0.57136271186440679</v>
      </c>
      <c r="H8" s="86" t="s">
        <v>1053</v>
      </c>
      <c r="I8" s="86" t="s">
        <v>2016</v>
      </c>
      <c r="J8" s="340"/>
    </row>
    <row r="9" spans="1:10" ht="25.5" x14ac:dyDescent="0.2">
      <c r="A9" s="13" t="s">
        <v>2013</v>
      </c>
      <c r="B9" s="86" t="s">
        <v>1056</v>
      </c>
      <c r="C9" s="86" t="s">
        <v>1055</v>
      </c>
      <c r="D9" s="86" t="s">
        <v>998</v>
      </c>
      <c r="E9" s="86" t="s">
        <v>1162</v>
      </c>
      <c r="F9" s="145">
        <v>422.40000000000003</v>
      </c>
      <c r="G9" s="89">
        <v>0.5714285714285714</v>
      </c>
      <c r="H9" s="86" t="s">
        <v>1061</v>
      </c>
      <c r="I9" s="86" t="s">
        <v>2016</v>
      </c>
      <c r="J9" s="455" t="s">
        <v>1062</v>
      </c>
    </row>
    <row r="10" spans="1:10" ht="25.5" x14ac:dyDescent="0.2">
      <c r="A10" s="13" t="s">
        <v>2013</v>
      </c>
      <c r="B10" s="86" t="s">
        <v>1057</v>
      </c>
      <c r="C10" s="86" t="s">
        <v>1055</v>
      </c>
      <c r="D10" s="86" t="s">
        <v>998</v>
      </c>
      <c r="E10" s="86" t="s">
        <v>1162</v>
      </c>
      <c r="F10" s="145">
        <v>1900.8000000000002</v>
      </c>
      <c r="G10" s="89">
        <v>0.57142857142857151</v>
      </c>
      <c r="H10" s="86" t="s">
        <v>1063</v>
      </c>
      <c r="I10" s="86" t="s">
        <v>2016</v>
      </c>
      <c r="J10" s="395"/>
    </row>
    <row r="11" spans="1:10" ht="25.5" x14ac:dyDescent="0.2">
      <c r="A11" s="13" t="s">
        <v>2013</v>
      </c>
      <c r="B11" s="86" t="s">
        <v>1058</v>
      </c>
      <c r="C11" s="86" t="s">
        <v>1055</v>
      </c>
      <c r="D11" s="86" t="s">
        <v>998</v>
      </c>
      <c r="E11" s="86" t="s">
        <v>1162</v>
      </c>
      <c r="F11" s="145">
        <v>3590.4</v>
      </c>
      <c r="G11" s="89">
        <v>0.57142857142857151</v>
      </c>
      <c r="H11" s="86" t="s">
        <v>1064</v>
      </c>
      <c r="I11" s="86" t="s">
        <v>2016</v>
      </c>
      <c r="J11" s="395"/>
    </row>
    <row r="12" spans="1:10" ht="25.5" x14ac:dyDescent="0.2">
      <c r="A12" s="13" t="s">
        <v>2013</v>
      </c>
      <c r="B12" s="86" t="s">
        <v>1059</v>
      </c>
      <c r="C12" s="86" t="s">
        <v>1055</v>
      </c>
      <c r="D12" s="86" t="s">
        <v>998</v>
      </c>
      <c r="E12" s="86" t="s">
        <v>1162</v>
      </c>
      <c r="F12" s="145">
        <v>15840.000000000002</v>
      </c>
      <c r="G12" s="89">
        <v>0.5714285714285714</v>
      </c>
      <c r="H12" s="86" t="s">
        <v>1065</v>
      </c>
      <c r="I12" s="86" t="s">
        <v>2016</v>
      </c>
      <c r="J12" s="395"/>
    </row>
    <row r="13" spans="1:10" ht="25.5" x14ac:dyDescent="0.2">
      <c r="A13" s="13" t="s">
        <v>2013</v>
      </c>
      <c r="B13" s="86" t="s">
        <v>1060</v>
      </c>
      <c r="C13" s="86" t="s">
        <v>1055</v>
      </c>
      <c r="D13" s="86" t="s">
        <v>998</v>
      </c>
      <c r="E13" s="86" t="s">
        <v>1162</v>
      </c>
      <c r="F13" s="145">
        <v>27456.000000000004</v>
      </c>
      <c r="G13" s="89">
        <v>0.5714285714285714</v>
      </c>
      <c r="H13" s="86" t="s">
        <v>1066</v>
      </c>
      <c r="I13" s="86" t="s">
        <v>2016</v>
      </c>
      <c r="J13" s="340"/>
    </row>
    <row r="14" spans="1:10" ht="25.5" x14ac:dyDescent="0.2">
      <c r="A14" s="13" t="s">
        <v>2013</v>
      </c>
      <c r="B14" s="86" t="s">
        <v>1067</v>
      </c>
      <c r="C14" s="86" t="s">
        <v>1069</v>
      </c>
      <c r="D14" s="86" t="s">
        <v>998</v>
      </c>
      <c r="E14" s="86" t="s">
        <v>1162</v>
      </c>
      <c r="F14" s="145">
        <v>462.00000000000006</v>
      </c>
      <c r="G14" s="89">
        <v>0.5714285714285714</v>
      </c>
      <c r="H14" s="86" t="s">
        <v>1086</v>
      </c>
      <c r="I14" s="86" t="s">
        <v>2017</v>
      </c>
      <c r="J14" s="455" t="s">
        <v>1087</v>
      </c>
    </row>
    <row r="15" spans="1:10" ht="25.5" x14ac:dyDescent="0.2">
      <c r="A15" s="13" t="s">
        <v>2013</v>
      </c>
      <c r="B15" s="86" t="s">
        <v>1068</v>
      </c>
      <c r="C15" s="86" t="s">
        <v>1069</v>
      </c>
      <c r="D15" s="86" t="s">
        <v>998</v>
      </c>
      <c r="E15" s="86" t="s">
        <v>1162</v>
      </c>
      <c r="F15" s="145">
        <v>3696.0000000000005</v>
      </c>
      <c r="G15" s="89">
        <v>0.5714285714285714</v>
      </c>
      <c r="H15" s="86" t="s">
        <v>1088</v>
      </c>
      <c r="I15" s="86" t="s">
        <v>2017</v>
      </c>
      <c r="J15" s="340"/>
    </row>
    <row r="16" spans="1:10" ht="25.5" x14ac:dyDescent="0.2">
      <c r="A16" s="13" t="s">
        <v>2013</v>
      </c>
      <c r="B16" s="86" t="s">
        <v>1070</v>
      </c>
      <c r="C16" s="86" t="s">
        <v>1077</v>
      </c>
      <c r="D16" s="86" t="s">
        <v>998</v>
      </c>
      <c r="E16" s="86" t="s">
        <v>1163</v>
      </c>
      <c r="F16" s="145">
        <v>34.760000000000005</v>
      </c>
      <c r="G16" s="89">
        <v>0.56111111111111112</v>
      </c>
      <c r="H16" s="86" t="s">
        <v>1078</v>
      </c>
      <c r="I16" s="86" t="s">
        <v>1079</v>
      </c>
      <c r="J16" s="455" t="s">
        <v>1080</v>
      </c>
    </row>
    <row r="17" spans="1:10" ht="25.5" x14ac:dyDescent="0.2">
      <c r="A17" s="13" t="s">
        <v>2013</v>
      </c>
      <c r="B17" s="86" t="s">
        <v>1072</v>
      </c>
      <c r="C17" s="86" t="s">
        <v>1077</v>
      </c>
      <c r="D17" s="86" t="s">
        <v>998</v>
      </c>
      <c r="E17" s="86" t="s">
        <v>1163</v>
      </c>
      <c r="F17" s="145">
        <v>164.36640000000006</v>
      </c>
      <c r="G17" s="89">
        <v>0.5746299248462764</v>
      </c>
      <c r="H17" s="86" t="s">
        <v>1081</v>
      </c>
      <c r="I17" s="86" t="s">
        <v>1079</v>
      </c>
      <c r="J17" s="395"/>
    </row>
    <row r="18" spans="1:10" ht="25.5" x14ac:dyDescent="0.2">
      <c r="A18" s="13" t="s">
        <v>2013</v>
      </c>
      <c r="B18" s="86" t="s">
        <v>1073</v>
      </c>
      <c r="C18" s="86" t="s">
        <v>1077</v>
      </c>
      <c r="D18" s="86" t="s">
        <v>998</v>
      </c>
      <c r="E18" s="86" t="s">
        <v>1163</v>
      </c>
      <c r="F18" s="145">
        <v>315.18520000000001</v>
      </c>
      <c r="G18" s="89">
        <v>0.57462589073634207</v>
      </c>
      <c r="H18" s="86" t="s">
        <v>1082</v>
      </c>
      <c r="I18" s="86" t="s">
        <v>1079</v>
      </c>
      <c r="J18" s="395"/>
    </row>
    <row r="19" spans="1:10" ht="25.5" x14ac:dyDescent="0.2">
      <c r="A19" s="13" t="s">
        <v>2013</v>
      </c>
      <c r="B19" s="86" t="s">
        <v>1074</v>
      </c>
      <c r="C19" s="86" t="s">
        <v>1077</v>
      </c>
      <c r="D19" s="86" t="s">
        <v>998</v>
      </c>
      <c r="E19" s="86" t="s">
        <v>1163</v>
      </c>
      <c r="F19" s="145">
        <v>1016.7212000000003</v>
      </c>
      <c r="G19" s="89">
        <v>0.57462745639467983</v>
      </c>
      <c r="H19" s="86" t="s">
        <v>1083</v>
      </c>
      <c r="I19" s="86" t="s">
        <v>1079</v>
      </c>
      <c r="J19" s="395"/>
    </row>
    <row r="20" spans="1:10" ht="25.5" x14ac:dyDescent="0.2">
      <c r="A20" s="13" t="s">
        <v>2013</v>
      </c>
      <c r="B20" s="86" t="s">
        <v>1075</v>
      </c>
      <c r="C20" s="86" t="s">
        <v>1077</v>
      </c>
      <c r="D20" s="86" t="s">
        <v>998</v>
      </c>
      <c r="E20" s="86" t="s">
        <v>1163</v>
      </c>
      <c r="F20" s="145">
        <v>1694.5368000000003</v>
      </c>
      <c r="G20" s="89">
        <v>0.57462708822311193</v>
      </c>
      <c r="H20" s="86" t="s">
        <v>1084</v>
      </c>
      <c r="I20" s="86" t="s">
        <v>1079</v>
      </c>
      <c r="J20" s="395"/>
    </row>
    <row r="21" spans="1:10" ht="25.5" x14ac:dyDescent="0.2">
      <c r="A21" s="13" t="s">
        <v>2013</v>
      </c>
      <c r="B21" s="86" t="s">
        <v>1076</v>
      </c>
      <c r="C21" s="86" t="s">
        <v>1077</v>
      </c>
      <c r="D21" s="86" t="s">
        <v>998</v>
      </c>
      <c r="E21" s="86" t="s">
        <v>1163</v>
      </c>
      <c r="F21" s="145">
        <v>5083.6324000000004</v>
      </c>
      <c r="G21" s="89">
        <v>0.57462681346840272</v>
      </c>
      <c r="H21" s="86" t="s">
        <v>1085</v>
      </c>
      <c r="I21" s="86" t="s">
        <v>1079</v>
      </c>
      <c r="J21" s="340"/>
    </row>
    <row r="22" spans="1:10" ht="38.25" x14ac:dyDescent="0.2">
      <c r="A22" s="13" t="s">
        <v>2013</v>
      </c>
      <c r="B22" s="13" t="s">
        <v>2018</v>
      </c>
      <c r="C22" s="13"/>
      <c r="D22" s="86" t="s">
        <v>998</v>
      </c>
      <c r="E22" s="13"/>
      <c r="F22" s="145" t="s">
        <v>1</v>
      </c>
      <c r="G22" s="89" t="s">
        <v>1</v>
      </c>
      <c r="H22" s="86" t="s">
        <v>2019</v>
      </c>
      <c r="I22" s="86" t="s">
        <v>2020</v>
      </c>
      <c r="J22" s="455" t="s">
        <v>2021</v>
      </c>
    </row>
    <row r="23" spans="1:10" ht="38.25" x14ac:dyDescent="0.2">
      <c r="A23" s="13" t="s">
        <v>2013</v>
      </c>
      <c r="B23" s="13" t="s">
        <v>2022</v>
      </c>
      <c r="C23" s="13"/>
      <c r="D23" s="86" t="s">
        <v>998</v>
      </c>
      <c r="E23" s="13"/>
      <c r="F23" s="145" t="s">
        <v>1</v>
      </c>
      <c r="G23" s="89" t="s">
        <v>1</v>
      </c>
      <c r="H23" s="86" t="s">
        <v>2019</v>
      </c>
      <c r="I23" s="86" t="s">
        <v>2020</v>
      </c>
      <c r="J23" s="395"/>
    </row>
    <row r="24" spans="1:10" ht="38.25" x14ac:dyDescent="0.2">
      <c r="A24" s="13" t="s">
        <v>2013</v>
      </c>
      <c r="B24" s="13" t="s">
        <v>2023</v>
      </c>
      <c r="C24" s="13"/>
      <c r="D24" s="86" t="s">
        <v>998</v>
      </c>
      <c r="E24" s="13"/>
      <c r="F24" s="145" t="s">
        <v>1</v>
      </c>
      <c r="G24" s="89" t="s">
        <v>1</v>
      </c>
      <c r="H24" s="86" t="s">
        <v>2019</v>
      </c>
      <c r="I24" s="86" t="s">
        <v>2020</v>
      </c>
      <c r="J24" s="340"/>
    </row>
    <row r="25" spans="1:10" ht="38.25" x14ac:dyDescent="0.2">
      <c r="A25" s="13" t="s">
        <v>10</v>
      </c>
      <c r="B25" s="13" t="s">
        <v>1110</v>
      </c>
      <c r="C25" s="13" t="s">
        <v>1111</v>
      </c>
      <c r="D25" s="86" t="s">
        <v>998</v>
      </c>
      <c r="E25" s="13" t="s">
        <v>1002</v>
      </c>
      <c r="F25" s="145">
        <v>289.43</v>
      </c>
      <c r="G25" s="89">
        <v>0.28000000000000003</v>
      </c>
      <c r="H25" s="13"/>
      <c r="I25" s="13" t="s">
        <v>1154</v>
      </c>
      <c r="J25" s="13"/>
    </row>
    <row r="26" spans="1:10" ht="38.25" x14ac:dyDescent="0.2">
      <c r="A26" s="13" t="s">
        <v>10</v>
      </c>
      <c r="B26" s="13" t="s">
        <v>1110</v>
      </c>
      <c r="C26" s="13" t="s">
        <v>1112</v>
      </c>
      <c r="D26" s="86" t="s">
        <v>1113</v>
      </c>
      <c r="E26" s="13" t="s">
        <v>1002</v>
      </c>
      <c r="F26" s="145">
        <v>122.69</v>
      </c>
      <c r="G26" s="89">
        <v>0.28000000000000003</v>
      </c>
      <c r="H26" s="13"/>
      <c r="I26" s="13" t="s">
        <v>1154</v>
      </c>
      <c r="J26" s="13"/>
    </row>
    <row r="27" spans="1:10" ht="25.5" x14ac:dyDescent="0.2">
      <c r="A27" s="13" t="s">
        <v>10</v>
      </c>
      <c r="B27" s="13" t="s">
        <v>1110</v>
      </c>
      <c r="C27" s="13" t="s">
        <v>1114</v>
      </c>
      <c r="D27" s="86" t="s">
        <v>998</v>
      </c>
      <c r="E27" s="13" t="s">
        <v>1002</v>
      </c>
      <c r="F27" s="145">
        <v>34.61</v>
      </c>
      <c r="G27" s="89">
        <v>0.28000000000000003</v>
      </c>
      <c r="H27" s="13"/>
      <c r="I27" s="13" t="s">
        <v>1155</v>
      </c>
      <c r="J27" s="13"/>
    </row>
    <row r="28" spans="1:10" ht="38.25" x14ac:dyDescent="0.2">
      <c r="A28" s="13" t="s">
        <v>10</v>
      </c>
      <c r="B28" s="13" t="s">
        <v>1110</v>
      </c>
      <c r="C28" s="13" t="s">
        <v>1115</v>
      </c>
      <c r="D28" s="86" t="s">
        <v>998</v>
      </c>
      <c r="E28" s="13" t="s">
        <v>1002</v>
      </c>
      <c r="F28" s="145">
        <v>119.55</v>
      </c>
      <c r="G28" s="89">
        <v>0.28000000000000003</v>
      </c>
      <c r="H28" s="13"/>
      <c r="I28" s="13" t="s">
        <v>1156</v>
      </c>
      <c r="J28" s="13"/>
    </row>
    <row r="29" spans="1:10" ht="38.25" x14ac:dyDescent="0.2">
      <c r="A29" s="13" t="s">
        <v>10</v>
      </c>
      <c r="B29" s="13" t="s">
        <v>1110</v>
      </c>
      <c r="C29" s="13" t="s">
        <v>1116</v>
      </c>
      <c r="D29" s="86" t="s">
        <v>1113</v>
      </c>
      <c r="E29" s="13" t="s">
        <v>1002</v>
      </c>
      <c r="F29" s="145">
        <v>59.77</v>
      </c>
      <c r="G29" s="89">
        <v>0.28000000000000003</v>
      </c>
      <c r="H29" s="13"/>
      <c r="I29" s="13" t="s">
        <v>1156</v>
      </c>
      <c r="J29" s="13"/>
    </row>
    <row r="30" spans="1:10" ht="38.25" x14ac:dyDescent="0.2">
      <c r="A30" s="13" t="s">
        <v>10</v>
      </c>
      <c r="B30" s="13" t="s">
        <v>1110</v>
      </c>
      <c r="C30" s="13" t="s">
        <v>1117</v>
      </c>
      <c r="D30" s="86" t="s">
        <v>998</v>
      </c>
      <c r="E30" s="13" t="s">
        <v>1002</v>
      </c>
      <c r="F30" s="145">
        <v>24.08</v>
      </c>
      <c r="G30" s="89">
        <v>0.28000000000000003</v>
      </c>
      <c r="H30" s="13"/>
      <c r="I30" s="13" t="s">
        <v>1156</v>
      </c>
      <c r="J30" s="13"/>
    </row>
    <row r="31" spans="1:10" ht="51" x14ac:dyDescent="0.2">
      <c r="A31" s="13" t="s">
        <v>10</v>
      </c>
      <c r="B31" s="13" t="s">
        <v>1110</v>
      </c>
      <c r="C31" s="13" t="s">
        <v>1118</v>
      </c>
      <c r="D31" s="86" t="s">
        <v>1113</v>
      </c>
      <c r="E31" s="13" t="s">
        <v>1002</v>
      </c>
      <c r="F31" s="145">
        <v>12.03</v>
      </c>
      <c r="G31" s="89">
        <v>0.28000000000000003</v>
      </c>
      <c r="H31" s="13"/>
      <c r="I31" s="13" t="s">
        <v>1156</v>
      </c>
      <c r="J31" s="13"/>
    </row>
    <row r="32" spans="1:10" ht="25.5" x14ac:dyDescent="0.2">
      <c r="A32" s="13" t="s">
        <v>10</v>
      </c>
      <c r="B32" s="13" t="s">
        <v>1119</v>
      </c>
      <c r="C32" s="13" t="s">
        <v>1120</v>
      </c>
      <c r="D32" s="86" t="s">
        <v>998</v>
      </c>
      <c r="E32" s="13" t="s">
        <v>1002</v>
      </c>
      <c r="F32" s="145">
        <v>553.70000000000005</v>
      </c>
      <c r="G32" s="89">
        <v>0.28000000000000003</v>
      </c>
      <c r="H32" s="13"/>
      <c r="I32" s="13" t="s">
        <v>1154</v>
      </c>
      <c r="J32" s="13"/>
    </row>
    <row r="33" spans="1:10" ht="25.5" x14ac:dyDescent="0.2">
      <c r="A33" s="13" t="s">
        <v>10</v>
      </c>
      <c r="B33" s="13" t="s">
        <v>1119</v>
      </c>
      <c r="C33" s="13" t="s">
        <v>1121</v>
      </c>
      <c r="D33" s="86" t="s">
        <v>1113</v>
      </c>
      <c r="E33" s="13" t="s">
        <v>1002</v>
      </c>
      <c r="F33" s="145">
        <v>19.62</v>
      </c>
      <c r="G33" s="89">
        <v>0.28000000000000003</v>
      </c>
      <c r="H33" s="13"/>
      <c r="I33" s="13" t="s">
        <v>1154</v>
      </c>
      <c r="J33" s="13"/>
    </row>
    <row r="34" spans="1:10" ht="12.75" x14ac:dyDescent="0.2">
      <c r="A34" s="13" t="s">
        <v>10</v>
      </c>
      <c r="B34" s="13" t="s">
        <v>1119</v>
      </c>
      <c r="C34" s="13" t="s">
        <v>1122</v>
      </c>
      <c r="D34" s="86" t="s">
        <v>998</v>
      </c>
      <c r="E34" s="13" t="s">
        <v>1002</v>
      </c>
      <c r="F34" s="145">
        <v>34.61</v>
      </c>
      <c r="G34" s="89">
        <v>0.28000000000000003</v>
      </c>
      <c r="H34" s="13"/>
      <c r="I34" s="13" t="s">
        <v>1157</v>
      </c>
      <c r="J34" s="13"/>
    </row>
    <row r="35" spans="1:10" ht="25.5" x14ac:dyDescent="0.2">
      <c r="A35" s="13" t="s">
        <v>10</v>
      </c>
      <c r="B35" s="13" t="s">
        <v>1123</v>
      </c>
      <c r="C35" s="13" t="s">
        <v>1124</v>
      </c>
      <c r="D35" s="86" t="s">
        <v>998</v>
      </c>
      <c r="E35" s="13" t="s">
        <v>1002</v>
      </c>
      <c r="F35" s="145">
        <v>640.21</v>
      </c>
      <c r="G35" s="89">
        <v>0.28000000000000003</v>
      </c>
      <c r="H35" s="13"/>
      <c r="I35" s="13" t="s">
        <v>1154</v>
      </c>
      <c r="J35" s="13"/>
    </row>
    <row r="36" spans="1:10" ht="25.5" x14ac:dyDescent="0.2">
      <c r="A36" s="13" t="s">
        <v>10</v>
      </c>
      <c r="B36" s="13" t="s">
        <v>1123</v>
      </c>
      <c r="C36" s="13" t="s">
        <v>1125</v>
      </c>
      <c r="D36" s="86" t="s">
        <v>1113</v>
      </c>
      <c r="E36" s="13" t="s">
        <v>1002</v>
      </c>
      <c r="F36" s="145">
        <v>273.7</v>
      </c>
      <c r="G36" s="89">
        <v>0.28000000000000003</v>
      </c>
      <c r="H36" s="13"/>
      <c r="I36" s="13" t="s">
        <v>1154</v>
      </c>
      <c r="J36" s="13"/>
    </row>
    <row r="37" spans="1:10" ht="25.5" x14ac:dyDescent="0.2">
      <c r="A37" s="13" t="s">
        <v>10</v>
      </c>
      <c r="B37" s="13" t="s">
        <v>1123</v>
      </c>
      <c r="C37" s="13" t="s">
        <v>1122</v>
      </c>
      <c r="D37" s="86" t="s">
        <v>998</v>
      </c>
      <c r="E37" s="13" t="s">
        <v>1002</v>
      </c>
      <c r="F37" s="145">
        <v>34.61</v>
      </c>
      <c r="G37" s="89">
        <v>0.28000000000000003</v>
      </c>
      <c r="H37" s="13"/>
      <c r="I37" s="13" t="s">
        <v>1154</v>
      </c>
      <c r="J37" s="13"/>
    </row>
    <row r="38" spans="1:10" ht="38.25" x14ac:dyDescent="0.2">
      <c r="A38" s="13" t="s">
        <v>10</v>
      </c>
      <c r="B38" s="13" t="s">
        <v>1123</v>
      </c>
      <c r="C38" s="13" t="s">
        <v>1126</v>
      </c>
      <c r="D38" s="86" t="s">
        <v>998</v>
      </c>
      <c r="E38" s="13" t="s">
        <v>1002</v>
      </c>
      <c r="F38" s="145">
        <v>305.16000000000003</v>
      </c>
      <c r="G38" s="89">
        <v>0.28000000000000003</v>
      </c>
      <c r="H38" s="13"/>
      <c r="I38" s="13" t="s">
        <v>1154</v>
      </c>
      <c r="J38" s="13"/>
    </row>
    <row r="39" spans="1:10" ht="38.25" x14ac:dyDescent="0.2">
      <c r="A39" s="13" t="s">
        <v>10</v>
      </c>
      <c r="B39" s="13" t="s">
        <v>1123</v>
      </c>
      <c r="C39" s="13" t="s">
        <v>1127</v>
      </c>
      <c r="D39" s="86" t="s">
        <v>1113</v>
      </c>
      <c r="E39" s="13" t="s">
        <v>1002</v>
      </c>
      <c r="F39" s="145">
        <v>133.71</v>
      </c>
      <c r="G39" s="89">
        <v>0.28000000000000003</v>
      </c>
      <c r="H39" s="13"/>
      <c r="I39" s="13" t="s">
        <v>1154</v>
      </c>
      <c r="J39" s="13"/>
    </row>
    <row r="40" spans="1:10" ht="38.25" x14ac:dyDescent="0.2">
      <c r="A40" s="13" t="s">
        <v>10</v>
      </c>
      <c r="B40" s="13" t="s">
        <v>1123</v>
      </c>
      <c r="C40" s="13" t="s">
        <v>1128</v>
      </c>
      <c r="D40" s="86" t="s">
        <v>998</v>
      </c>
      <c r="E40" s="13" t="s">
        <v>1002</v>
      </c>
      <c r="F40" s="145">
        <v>24.08</v>
      </c>
      <c r="G40" s="89">
        <v>0.28000000000000003</v>
      </c>
      <c r="H40" s="13"/>
      <c r="I40" s="13" t="s">
        <v>1154</v>
      </c>
      <c r="J40" s="13"/>
    </row>
    <row r="41" spans="1:10" ht="38.25" x14ac:dyDescent="0.2">
      <c r="A41" s="13" t="s">
        <v>10</v>
      </c>
      <c r="B41" s="13" t="s">
        <v>1123</v>
      </c>
      <c r="C41" s="13" t="s">
        <v>1129</v>
      </c>
      <c r="D41" s="86" t="s">
        <v>1113</v>
      </c>
      <c r="E41" s="13" t="s">
        <v>1002</v>
      </c>
      <c r="F41" s="145">
        <v>12.03</v>
      </c>
      <c r="G41" s="89">
        <v>0.28000000000000003</v>
      </c>
      <c r="H41" s="13"/>
      <c r="I41" s="13" t="s">
        <v>1154</v>
      </c>
      <c r="J41" s="13"/>
    </row>
    <row r="42" spans="1:10" ht="12.75" x14ac:dyDescent="0.2">
      <c r="A42" s="13" t="s">
        <v>10</v>
      </c>
      <c r="B42" s="13" t="s">
        <v>1123</v>
      </c>
      <c r="C42" s="13" t="s">
        <v>1122</v>
      </c>
      <c r="D42" s="86" t="s">
        <v>998</v>
      </c>
      <c r="E42" s="13" t="s">
        <v>1002</v>
      </c>
      <c r="F42" s="145">
        <v>34.61</v>
      </c>
      <c r="G42" s="89">
        <v>0.28000000000000003</v>
      </c>
      <c r="H42" s="13"/>
      <c r="I42" s="13" t="s">
        <v>1155</v>
      </c>
      <c r="J42" s="13"/>
    </row>
    <row r="43" spans="1:10" ht="38.25" x14ac:dyDescent="0.2">
      <c r="A43" s="13" t="s">
        <v>10</v>
      </c>
      <c r="B43" s="13" t="s">
        <v>1090</v>
      </c>
      <c r="C43" s="13" t="s">
        <v>1130</v>
      </c>
      <c r="D43" s="86" t="s">
        <v>998</v>
      </c>
      <c r="E43" s="13" t="s">
        <v>1002</v>
      </c>
      <c r="F43" s="145">
        <v>378.06</v>
      </c>
      <c r="G43" s="89">
        <v>0.39</v>
      </c>
      <c r="H43" s="13"/>
      <c r="I43" s="13" t="s">
        <v>1154</v>
      </c>
      <c r="J43" s="13"/>
    </row>
    <row r="44" spans="1:10" ht="38.25" x14ac:dyDescent="0.2">
      <c r="A44" s="13" t="s">
        <v>10</v>
      </c>
      <c r="B44" s="13" t="s">
        <v>1090</v>
      </c>
      <c r="C44" s="13" t="s">
        <v>1131</v>
      </c>
      <c r="D44" s="86" t="s">
        <v>998</v>
      </c>
      <c r="E44" s="13" t="s">
        <v>1002</v>
      </c>
      <c r="F44" s="145">
        <v>321.34999999999997</v>
      </c>
      <c r="G44" s="89">
        <v>0.39</v>
      </c>
      <c r="H44" s="13"/>
      <c r="I44" s="13" t="s">
        <v>1154</v>
      </c>
      <c r="J44" s="13"/>
    </row>
    <row r="45" spans="1:10" ht="38.25" x14ac:dyDescent="0.2">
      <c r="A45" s="13" t="s">
        <v>10</v>
      </c>
      <c r="B45" s="13" t="s">
        <v>1090</v>
      </c>
      <c r="C45" s="13" t="s">
        <v>1132</v>
      </c>
      <c r="D45" s="86" t="s">
        <v>998</v>
      </c>
      <c r="E45" s="13" t="s">
        <v>1002</v>
      </c>
      <c r="F45" s="145">
        <v>283.53999999999996</v>
      </c>
      <c r="G45" s="89">
        <v>0.39</v>
      </c>
      <c r="H45" s="13"/>
      <c r="I45" s="13" t="s">
        <v>1154</v>
      </c>
      <c r="J45" s="13"/>
    </row>
    <row r="46" spans="1:10" ht="38.25" x14ac:dyDescent="0.2">
      <c r="A46" s="13" t="s">
        <v>10</v>
      </c>
      <c r="B46" s="13" t="s">
        <v>1090</v>
      </c>
      <c r="C46" s="13" t="s">
        <v>1133</v>
      </c>
      <c r="D46" s="86" t="s">
        <v>998</v>
      </c>
      <c r="E46" s="13" t="s">
        <v>1002</v>
      </c>
      <c r="F46" s="145">
        <v>245.51999999999998</v>
      </c>
      <c r="G46" s="89">
        <v>0.39</v>
      </c>
      <c r="H46" s="13"/>
      <c r="I46" s="13" t="s">
        <v>1154</v>
      </c>
      <c r="J46" s="13"/>
    </row>
    <row r="47" spans="1:10" ht="38.25" x14ac:dyDescent="0.2">
      <c r="A47" s="13" t="s">
        <v>10</v>
      </c>
      <c r="B47" s="13" t="s">
        <v>1090</v>
      </c>
      <c r="C47" s="13" t="s">
        <v>1134</v>
      </c>
      <c r="D47" s="86" t="s">
        <v>998</v>
      </c>
      <c r="E47" s="13" t="s">
        <v>1002</v>
      </c>
      <c r="F47" s="145">
        <v>207.92999999999998</v>
      </c>
      <c r="G47" s="89">
        <v>0.39</v>
      </c>
      <c r="H47" s="13"/>
      <c r="I47" s="13" t="s">
        <v>1154</v>
      </c>
      <c r="J47" s="13"/>
    </row>
    <row r="48" spans="1:10" ht="38.25" x14ac:dyDescent="0.2">
      <c r="A48" s="13" t="s">
        <v>10</v>
      </c>
      <c r="B48" s="13" t="s">
        <v>1090</v>
      </c>
      <c r="C48" s="13" t="s">
        <v>1135</v>
      </c>
      <c r="D48" s="86" t="s">
        <v>1113</v>
      </c>
      <c r="E48" s="13" t="s">
        <v>1136</v>
      </c>
      <c r="F48" s="145">
        <v>75.62</v>
      </c>
      <c r="G48" s="89">
        <v>0.39</v>
      </c>
      <c r="H48" s="13"/>
      <c r="I48" s="13" t="s">
        <v>1154</v>
      </c>
      <c r="J48" s="13"/>
    </row>
    <row r="49" spans="1:10" ht="51" x14ac:dyDescent="0.2">
      <c r="A49" s="13" t="s">
        <v>10</v>
      </c>
      <c r="B49" s="13" t="s">
        <v>1090</v>
      </c>
      <c r="C49" s="13" t="s">
        <v>1137</v>
      </c>
      <c r="D49" s="86" t="s">
        <v>1113</v>
      </c>
      <c r="E49" s="13" t="s">
        <v>1136</v>
      </c>
      <c r="F49" s="145">
        <v>64.27000000000001</v>
      </c>
      <c r="G49" s="89">
        <v>0.39</v>
      </c>
      <c r="H49" s="13"/>
      <c r="I49" s="13" t="s">
        <v>1154</v>
      </c>
      <c r="J49" s="13"/>
    </row>
    <row r="50" spans="1:10" ht="51" x14ac:dyDescent="0.2">
      <c r="A50" s="13" t="s">
        <v>10</v>
      </c>
      <c r="B50" s="13" t="s">
        <v>1090</v>
      </c>
      <c r="C50" s="13" t="s">
        <v>1138</v>
      </c>
      <c r="D50" s="86" t="s">
        <v>1113</v>
      </c>
      <c r="E50" s="13" t="s">
        <v>1136</v>
      </c>
      <c r="F50" s="145">
        <v>56.71</v>
      </c>
      <c r="G50" s="89">
        <v>0.39</v>
      </c>
      <c r="H50" s="13"/>
      <c r="I50" s="13" t="s">
        <v>1154</v>
      </c>
      <c r="J50" s="13"/>
    </row>
    <row r="51" spans="1:10" ht="38.25" x14ac:dyDescent="0.2">
      <c r="A51" s="13" t="s">
        <v>10</v>
      </c>
      <c r="B51" s="13" t="s">
        <v>1090</v>
      </c>
      <c r="C51" s="13" t="s">
        <v>1139</v>
      </c>
      <c r="D51" s="86" t="s">
        <v>1113</v>
      </c>
      <c r="E51" s="13" t="s">
        <v>1136</v>
      </c>
      <c r="F51" s="145">
        <v>49.11</v>
      </c>
      <c r="G51" s="89">
        <v>0.39</v>
      </c>
      <c r="H51" s="13"/>
      <c r="I51" s="13" t="s">
        <v>1154</v>
      </c>
      <c r="J51" s="13"/>
    </row>
    <row r="52" spans="1:10" ht="51" x14ac:dyDescent="0.2">
      <c r="A52" s="13" t="s">
        <v>10</v>
      </c>
      <c r="B52" s="13" t="s">
        <v>1090</v>
      </c>
      <c r="C52" s="13" t="s">
        <v>1140</v>
      </c>
      <c r="D52" s="86" t="s">
        <v>1113</v>
      </c>
      <c r="E52" s="13" t="s">
        <v>1136</v>
      </c>
      <c r="F52" s="145">
        <v>41.589999999999996</v>
      </c>
      <c r="G52" s="89">
        <v>0.39</v>
      </c>
      <c r="H52" s="13"/>
      <c r="I52" s="13" t="s">
        <v>1154</v>
      </c>
      <c r="J52" s="13"/>
    </row>
    <row r="53" spans="1:10" ht="25.5" x14ac:dyDescent="0.2">
      <c r="A53" s="13" t="s">
        <v>10</v>
      </c>
      <c r="B53" s="13" t="s">
        <v>1090</v>
      </c>
      <c r="C53" s="13" t="s">
        <v>1141</v>
      </c>
      <c r="D53" s="86" t="s">
        <v>998</v>
      </c>
      <c r="E53" s="13" t="s">
        <v>1142</v>
      </c>
      <c r="F53" s="145">
        <v>886.47</v>
      </c>
      <c r="G53" s="89">
        <v>0.39</v>
      </c>
      <c r="H53" s="13"/>
      <c r="I53" s="13" t="s">
        <v>1155</v>
      </c>
      <c r="J53" s="13"/>
    </row>
    <row r="54" spans="1:10" ht="25.5" x14ac:dyDescent="0.2">
      <c r="A54" s="13" t="s">
        <v>10</v>
      </c>
      <c r="B54" s="13" t="s">
        <v>1090</v>
      </c>
      <c r="C54" s="13" t="s">
        <v>1143</v>
      </c>
      <c r="D54" s="86" t="s">
        <v>998</v>
      </c>
      <c r="E54" s="13" t="s">
        <v>1144</v>
      </c>
      <c r="F54" s="145">
        <v>1786.84</v>
      </c>
      <c r="G54" s="89">
        <v>0.39</v>
      </c>
      <c r="H54" s="13"/>
      <c r="I54" s="13" t="s">
        <v>1155</v>
      </c>
      <c r="J54" s="13"/>
    </row>
    <row r="55" spans="1:10" ht="25.5" x14ac:dyDescent="0.2">
      <c r="A55" s="13" t="s">
        <v>10</v>
      </c>
      <c r="B55" s="13" t="s">
        <v>1090</v>
      </c>
      <c r="C55" s="13" t="s">
        <v>1145</v>
      </c>
      <c r="D55" s="86" t="s">
        <v>998</v>
      </c>
      <c r="E55" s="13" t="s">
        <v>1146</v>
      </c>
      <c r="F55" s="145">
        <v>2794.11</v>
      </c>
      <c r="G55" s="89">
        <v>0.39</v>
      </c>
      <c r="H55" s="13"/>
      <c r="I55" s="13" t="s">
        <v>1155</v>
      </c>
      <c r="J55" s="13"/>
    </row>
    <row r="56" spans="1:10" ht="25.5" x14ac:dyDescent="0.2">
      <c r="A56" s="13" t="s">
        <v>10</v>
      </c>
      <c r="B56" s="13" t="s">
        <v>1090</v>
      </c>
      <c r="C56" s="13" t="s">
        <v>1147</v>
      </c>
      <c r="D56" s="86" t="s">
        <v>998</v>
      </c>
      <c r="E56" s="13" t="s">
        <v>1148</v>
      </c>
      <c r="F56" s="145">
        <v>10854.85</v>
      </c>
      <c r="G56" s="89">
        <v>0.39</v>
      </c>
      <c r="H56" s="13"/>
      <c r="I56" s="13" t="s">
        <v>1155</v>
      </c>
      <c r="J56" s="13"/>
    </row>
    <row r="57" spans="1:10" ht="25.5" x14ac:dyDescent="0.2">
      <c r="A57" s="13" t="s">
        <v>10</v>
      </c>
      <c r="B57" s="13" t="s">
        <v>1090</v>
      </c>
      <c r="C57" s="13" t="s">
        <v>1149</v>
      </c>
      <c r="D57" s="86" t="s">
        <v>1113</v>
      </c>
      <c r="E57" s="13" t="s">
        <v>1142</v>
      </c>
      <c r="F57" s="145">
        <v>177.29999999999998</v>
      </c>
      <c r="G57" s="89">
        <v>0.39</v>
      </c>
      <c r="H57" s="13"/>
      <c r="I57" s="13" t="s">
        <v>1155</v>
      </c>
      <c r="J57" s="13"/>
    </row>
    <row r="58" spans="1:10" ht="25.5" x14ac:dyDescent="0.2">
      <c r="A58" s="13" t="s">
        <v>10</v>
      </c>
      <c r="B58" s="13" t="s">
        <v>1090</v>
      </c>
      <c r="C58" s="13" t="s">
        <v>1150</v>
      </c>
      <c r="D58" s="86" t="s">
        <v>1113</v>
      </c>
      <c r="E58" s="13" t="s">
        <v>1144</v>
      </c>
      <c r="F58" s="145">
        <v>357.37</v>
      </c>
      <c r="G58" s="89">
        <v>0.39</v>
      </c>
      <c r="H58" s="13"/>
      <c r="I58" s="13" t="s">
        <v>1155</v>
      </c>
      <c r="J58" s="13"/>
    </row>
    <row r="59" spans="1:10" ht="25.5" x14ac:dyDescent="0.2">
      <c r="A59" s="13" t="s">
        <v>10</v>
      </c>
      <c r="B59" s="13" t="s">
        <v>1090</v>
      </c>
      <c r="C59" s="13" t="s">
        <v>1151</v>
      </c>
      <c r="D59" s="86" t="s">
        <v>1113</v>
      </c>
      <c r="E59" s="13" t="s">
        <v>1146</v>
      </c>
      <c r="F59" s="145">
        <v>558.83000000000004</v>
      </c>
      <c r="G59" s="89">
        <v>0.39</v>
      </c>
      <c r="H59" s="13"/>
      <c r="I59" s="13" t="s">
        <v>1155</v>
      </c>
      <c r="J59" s="13"/>
    </row>
    <row r="60" spans="1:10" ht="25.5" x14ac:dyDescent="0.2">
      <c r="A60" s="13" t="s">
        <v>10</v>
      </c>
      <c r="B60" s="13" t="s">
        <v>1090</v>
      </c>
      <c r="C60" s="13" t="s">
        <v>1152</v>
      </c>
      <c r="D60" s="86" t="s">
        <v>1113</v>
      </c>
      <c r="E60" s="13" t="s">
        <v>1148</v>
      </c>
      <c r="F60" s="145">
        <v>2170.9700000000003</v>
      </c>
      <c r="G60" s="89">
        <v>0.39</v>
      </c>
      <c r="H60" s="13"/>
      <c r="I60" s="13" t="s">
        <v>1155</v>
      </c>
      <c r="J60" s="13"/>
    </row>
    <row r="61" spans="1:10" ht="25.5" x14ac:dyDescent="0.2">
      <c r="A61" s="13" t="s">
        <v>10</v>
      </c>
      <c r="B61" s="13" t="s">
        <v>1090</v>
      </c>
      <c r="C61" s="13" t="s">
        <v>1153</v>
      </c>
      <c r="D61" s="13" t="s">
        <v>998</v>
      </c>
      <c r="E61" s="13" t="s">
        <v>1002</v>
      </c>
      <c r="F61" s="145">
        <v>36.51</v>
      </c>
      <c r="G61" s="89">
        <v>0.28999999999999998</v>
      </c>
      <c r="H61" s="13"/>
      <c r="I61" s="13" t="s">
        <v>1156</v>
      </c>
      <c r="J61" s="13"/>
    </row>
    <row r="62" spans="1:10" ht="51" x14ac:dyDescent="0.2">
      <c r="A62" s="13" t="s">
        <v>7</v>
      </c>
      <c r="B62" s="13" t="s">
        <v>1090</v>
      </c>
      <c r="C62" s="13" t="s">
        <v>1091</v>
      </c>
      <c r="D62" s="13" t="s">
        <v>998</v>
      </c>
      <c r="E62" s="13" t="s">
        <v>1071</v>
      </c>
      <c r="F62" s="145">
        <v>794.64</v>
      </c>
      <c r="G62" s="89">
        <v>0.2</v>
      </c>
      <c r="H62" s="13" t="s">
        <v>1099</v>
      </c>
      <c r="I62" s="13" t="s">
        <v>1100</v>
      </c>
      <c r="J62" s="13" t="s">
        <v>1101</v>
      </c>
    </row>
    <row r="63" spans="1:10" ht="25.5" x14ac:dyDescent="0.2">
      <c r="A63" s="13" t="s">
        <v>7</v>
      </c>
      <c r="B63" s="13" t="s">
        <v>1092</v>
      </c>
      <c r="C63" s="13" t="s">
        <v>1091</v>
      </c>
      <c r="D63" s="13" t="s">
        <v>998</v>
      </c>
      <c r="E63" s="13" t="s">
        <v>1093</v>
      </c>
      <c r="F63" s="145">
        <v>61.16</v>
      </c>
      <c r="G63" s="89">
        <v>0.6</v>
      </c>
      <c r="H63" s="13" t="s">
        <v>1102</v>
      </c>
      <c r="I63" s="13" t="s">
        <v>1103</v>
      </c>
      <c r="J63" s="13" t="s">
        <v>1108</v>
      </c>
    </row>
    <row r="64" spans="1:10" ht="25.5" x14ac:dyDescent="0.2">
      <c r="A64" s="13" t="s">
        <v>7</v>
      </c>
      <c r="B64" s="13" t="s">
        <v>1094</v>
      </c>
      <c r="C64" s="13" t="s">
        <v>1095</v>
      </c>
      <c r="D64" s="13"/>
      <c r="E64" s="13" t="s">
        <v>1096</v>
      </c>
      <c r="F64" s="145">
        <v>87.56</v>
      </c>
      <c r="G64" s="89">
        <v>0.6</v>
      </c>
      <c r="H64" s="13" t="s">
        <v>1104</v>
      </c>
      <c r="I64" s="13" t="s">
        <v>1105</v>
      </c>
      <c r="J64" s="13" t="s">
        <v>1106</v>
      </c>
    </row>
    <row r="65" spans="1:10" ht="18" customHeight="1" x14ac:dyDescent="0.2">
      <c r="A65" s="13" t="s">
        <v>7</v>
      </c>
      <c r="B65" s="13" t="s">
        <v>1097</v>
      </c>
      <c r="C65" s="13" t="s">
        <v>1091</v>
      </c>
      <c r="D65" s="13" t="s">
        <v>998</v>
      </c>
      <c r="E65" s="13" t="s">
        <v>1098</v>
      </c>
      <c r="F65" s="145">
        <v>905.52</v>
      </c>
      <c r="G65" s="89">
        <v>0.2</v>
      </c>
      <c r="H65" s="13" t="s">
        <v>1107</v>
      </c>
      <c r="I65" s="13" t="s">
        <v>1100</v>
      </c>
      <c r="J65" s="13" t="s">
        <v>1109</v>
      </c>
    </row>
    <row r="66" spans="1:10" ht="38.25" x14ac:dyDescent="0.2">
      <c r="A66" s="13" t="s">
        <v>8</v>
      </c>
      <c r="B66" s="13" t="s">
        <v>996</v>
      </c>
      <c r="C66" s="13" t="s">
        <v>997</v>
      </c>
      <c r="D66" s="13" t="s">
        <v>998</v>
      </c>
      <c r="E66" s="13" t="s">
        <v>999</v>
      </c>
      <c r="F66" s="145">
        <v>3986.11</v>
      </c>
      <c r="G66" s="89">
        <v>0.05</v>
      </c>
      <c r="H66" s="13" t="s">
        <v>1019</v>
      </c>
      <c r="I66" s="13" t="s">
        <v>1020</v>
      </c>
      <c r="J66" s="13" t="s">
        <v>1021</v>
      </c>
    </row>
    <row r="67" spans="1:10" ht="25.5" x14ac:dyDescent="0.2">
      <c r="A67" s="13" t="s">
        <v>8</v>
      </c>
      <c r="B67" s="13" t="s">
        <v>1000</v>
      </c>
      <c r="C67" s="13" t="s">
        <v>997</v>
      </c>
      <c r="D67" s="13" t="s">
        <v>998</v>
      </c>
      <c r="E67" s="13" t="s">
        <v>999</v>
      </c>
      <c r="F67" s="145">
        <v>2270.5700000000002</v>
      </c>
      <c r="G67" s="89">
        <v>0.05</v>
      </c>
      <c r="H67" s="13" t="s">
        <v>1022</v>
      </c>
      <c r="I67" s="13" t="s">
        <v>1023</v>
      </c>
      <c r="J67" s="13" t="s">
        <v>1024</v>
      </c>
    </row>
    <row r="68" spans="1:10" ht="25.5" x14ac:dyDescent="0.2">
      <c r="A68" s="13" t="s">
        <v>8</v>
      </c>
      <c r="B68" s="13" t="s">
        <v>1001</v>
      </c>
      <c r="C68" s="13" t="s">
        <v>997</v>
      </c>
      <c r="D68" s="13" t="s">
        <v>998</v>
      </c>
      <c r="E68" s="13" t="s">
        <v>1002</v>
      </c>
      <c r="F68" s="145">
        <v>840.95</v>
      </c>
      <c r="G68" s="89">
        <v>0.05</v>
      </c>
      <c r="H68" s="13" t="s">
        <v>1022</v>
      </c>
      <c r="I68" s="13" t="s">
        <v>1025</v>
      </c>
      <c r="J68" s="13" t="s">
        <v>1026</v>
      </c>
    </row>
    <row r="69" spans="1:10" ht="38.25" x14ac:dyDescent="0.2">
      <c r="A69" s="13" t="s">
        <v>8</v>
      </c>
      <c r="B69" s="13" t="s">
        <v>1003</v>
      </c>
      <c r="C69" s="13" t="s">
        <v>997</v>
      </c>
      <c r="D69" s="13" t="s">
        <v>998</v>
      </c>
      <c r="E69" s="13" t="s">
        <v>999</v>
      </c>
      <c r="F69" s="145">
        <v>3536.5</v>
      </c>
      <c r="G69" s="89">
        <v>0.05</v>
      </c>
      <c r="H69" s="13" t="s">
        <v>1022</v>
      </c>
      <c r="I69" s="13" t="s">
        <v>1020</v>
      </c>
      <c r="J69" s="13" t="s">
        <v>1027</v>
      </c>
    </row>
    <row r="70" spans="1:10" ht="25.5" x14ac:dyDescent="0.2">
      <c r="A70" s="13" t="s">
        <v>8</v>
      </c>
      <c r="B70" s="13" t="s">
        <v>1004</v>
      </c>
      <c r="C70" s="13" t="s">
        <v>997</v>
      </c>
      <c r="D70" s="13" t="s">
        <v>998</v>
      </c>
      <c r="E70" s="13" t="s">
        <v>1002</v>
      </c>
      <c r="F70" s="145">
        <v>574.20000000000005</v>
      </c>
      <c r="G70" s="89">
        <v>0.05</v>
      </c>
      <c r="H70" s="13" t="s">
        <v>1022</v>
      </c>
      <c r="I70" s="13" t="s">
        <v>1028</v>
      </c>
      <c r="J70" s="13" t="s">
        <v>1029</v>
      </c>
    </row>
    <row r="71" spans="1:10" ht="38.25" x14ac:dyDescent="0.2">
      <c r="A71" s="13" t="s">
        <v>8</v>
      </c>
      <c r="B71" s="13" t="s">
        <v>1005</v>
      </c>
      <c r="C71" s="13" t="s">
        <v>1006</v>
      </c>
      <c r="D71" s="13" t="s">
        <v>998</v>
      </c>
      <c r="E71" s="13" t="s">
        <v>1002</v>
      </c>
      <c r="F71" s="145">
        <v>13.26</v>
      </c>
      <c r="G71" s="89">
        <v>0.05</v>
      </c>
      <c r="H71" s="13" t="s">
        <v>1022</v>
      </c>
      <c r="I71" s="13" t="s">
        <v>1030</v>
      </c>
      <c r="J71" s="13" t="s">
        <v>1031</v>
      </c>
    </row>
    <row r="72" spans="1:10" ht="25.5" x14ac:dyDescent="0.2">
      <c r="A72" s="13" t="s">
        <v>8</v>
      </c>
      <c r="B72" s="13" t="s">
        <v>1007</v>
      </c>
      <c r="C72" s="13" t="s">
        <v>997</v>
      </c>
      <c r="D72" s="13" t="s">
        <v>998</v>
      </c>
      <c r="E72" s="13" t="s">
        <v>1002</v>
      </c>
      <c r="F72" s="145">
        <v>745.23</v>
      </c>
      <c r="G72" s="89">
        <v>0.05</v>
      </c>
      <c r="H72" s="13" t="s">
        <v>1022</v>
      </c>
      <c r="I72" s="13" t="s">
        <v>1032</v>
      </c>
      <c r="J72" s="13" t="s">
        <v>1033</v>
      </c>
    </row>
    <row r="73" spans="1:10" ht="25.5" x14ac:dyDescent="0.2">
      <c r="A73" s="13" t="s">
        <v>8</v>
      </c>
      <c r="B73" s="13" t="s">
        <v>1008</v>
      </c>
      <c r="C73" s="13" t="s">
        <v>1009</v>
      </c>
      <c r="D73" s="13" t="s">
        <v>998</v>
      </c>
      <c r="E73" s="13" t="s">
        <v>1002</v>
      </c>
      <c r="F73" s="145">
        <v>745.23</v>
      </c>
      <c r="G73" s="89">
        <v>0.05</v>
      </c>
      <c r="H73" s="13" t="s">
        <v>1022</v>
      </c>
      <c r="I73" s="13" t="s">
        <v>1034</v>
      </c>
      <c r="J73" s="13" t="s">
        <v>1035</v>
      </c>
    </row>
    <row r="74" spans="1:10" ht="25.5" x14ac:dyDescent="0.2">
      <c r="A74" s="13" t="s">
        <v>8</v>
      </c>
      <c r="B74" s="13" t="s">
        <v>1010</v>
      </c>
      <c r="C74" s="13" t="s">
        <v>997</v>
      </c>
      <c r="D74" s="13" t="s">
        <v>998</v>
      </c>
      <c r="E74" s="13" t="s">
        <v>1011</v>
      </c>
      <c r="F74" s="145">
        <v>13.58</v>
      </c>
      <c r="G74" s="89">
        <v>0.05</v>
      </c>
      <c r="H74" s="13" t="s">
        <v>1022</v>
      </c>
      <c r="I74" s="13" t="s">
        <v>1036</v>
      </c>
      <c r="J74" s="13" t="s">
        <v>1037</v>
      </c>
    </row>
    <row r="75" spans="1:10" ht="38.25" x14ac:dyDescent="0.2">
      <c r="A75" s="13" t="s">
        <v>8</v>
      </c>
      <c r="B75" s="13" t="s">
        <v>1012</v>
      </c>
      <c r="C75" s="13" t="s">
        <v>1009</v>
      </c>
      <c r="D75" s="13" t="s">
        <v>998</v>
      </c>
      <c r="E75" s="13" t="s">
        <v>999</v>
      </c>
      <c r="F75" s="145">
        <v>2134</v>
      </c>
      <c r="G75" s="89">
        <v>0.05</v>
      </c>
      <c r="H75" s="13" t="s">
        <v>1022</v>
      </c>
      <c r="I75" s="13" t="s">
        <v>1038</v>
      </c>
      <c r="J75" s="13" t="s">
        <v>1039</v>
      </c>
    </row>
    <row r="76" spans="1:10" ht="25.5" x14ac:dyDescent="0.2">
      <c r="A76" s="13" t="s">
        <v>8</v>
      </c>
      <c r="B76" s="13" t="s">
        <v>1013</v>
      </c>
      <c r="C76" s="13" t="s">
        <v>1009</v>
      </c>
      <c r="D76" s="13" t="s">
        <v>998</v>
      </c>
      <c r="E76" s="13" t="s">
        <v>1002</v>
      </c>
      <c r="F76" s="145">
        <v>743.6</v>
      </c>
      <c r="G76" s="89">
        <v>0.05</v>
      </c>
      <c r="H76" s="13" t="s">
        <v>1022</v>
      </c>
      <c r="I76" s="13" t="s">
        <v>1040</v>
      </c>
      <c r="J76" s="13" t="s">
        <v>1041</v>
      </c>
    </row>
    <row r="77" spans="1:10" ht="38.25" x14ac:dyDescent="0.2">
      <c r="A77" s="13" t="s">
        <v>8</v>
      </c>
      <c r="B77" s="13" t="s">
        <v>1014</v>
      </c>
      <c r="C77" s="13" t="s">
        <v>1009</v>
      </c>
      <c r="D77" s="13" t="s">
        <v>998</v>
      </c>
      <c r="E77" s="13" t="s">
        <v>1002</v>
      </c>
      <c r="F77" s="145">
        <v>574.20000000000005</v>
      </c>
      <c r="G77" s="89">
        <v>0.05</v>
      </c>
      <c r="H77" s="13" t="s">
        <v>1022</v>
      </c>
      <c r="I77" s="13" t="s">
        <v>1042</v>
      </c>
      <c r="J77" s="13" t="s">
        <v>1043</v>
      </c>
    </row>
    <row r="78" spans="1:10" ht="38.25" x14ac:dyDescent="0.2">
      <c r="A78" s="13" t="s">
        <v>8</v>
      </c>
      <c r="B78" s="13" t="s">
        <v>1015</v>
      </c>
      <c r="C78" s="13" t="s">
        <v>1009</v>
      </c>
      <c r="D78" s="13" t="s">
        <v>998</v>
      </c>
      <c r="E78" s="13" t="s">
        <v>1011</v>
      </c>
      <c r="F78" s="145">
        <v>8580</v>
      </c>
      <c r="G78" s="89">
        <v>0.05</v>
      </c>
      <c r="H78" s="13" t="s">
        <v>1022</v>
      </c>
      <c r="I78" s="13" t="s">
        <v>1044</v>
      </c>
      <c r="J78" s="13" t="s">
        <v>1045</v>
      </c>
    </row>
    <row r="80" spans="1:10" ht="20.100000000000001" customHeight="1" x14ac:dyDescent="0.2">
      <c r="A80" s="376" t="s">
        <v>1159</v>
      </c>
      <c r="B80" s="452"/>
      <c r="C80" s="452"/>
      <c r="D80" s="452"/>
      <c r="E80" s="452"/>
      <c r="F80" s="452"/>
      <c r="G80" s="452"/>
      <c r="H80" s="452"/>
      <c r="I80" s="452"/>
      <c r="J80" s="453"/>
    </row>
    <row r="81" spans="1:10" ht="30" customHeight="1" x14ac:dyDescent="0.2">
      <c r="A81" s="70" t="s">
        <v>42</v>
      </c>
      <c r="B81" s="70" t="s">
        <v>72</v>
      </c>
      <c r="C81" s="70" t="s">
        <v>1160</v>
      </c>
      <c r="D81" s="456" t="s">
        <v>1161</v>
      </c>
      <c r="E81" s="457"/>
      <c r="F81" s="70" t="s">
        <v>1089</v>
      </c>
      <c r="G81" s="102" t="s">
        <v>1248</v>
      </c>
      <c r="H81" s="70" t="s">
        <v>1046</v>
      </c>
      <c r="I81" s="373" t="s">
        <v>942</v>
      </c>
      <c r="J81" s="423"/>
    </row>
    <row r="82" spans="1:10" ht="30" customHeight="1" x14ac:dyDescent="0.2">
      <c r="A82" s="13" t="s">
        <v>2013</v>
      </c>
      <c r="B82" s="85" t="s">
        <v>1165</v>
      </c>
      <c r="C82" s="85" t="s">
        <v>1166</v>
      </c>
      <c r="D82" s="449" t="s">
        <v>1167</v>
      </c>
      <c r="E82" s="441"/>
      <c r="F82" s="84">
        <v>308</v>
      </c>
      <c r="G82" s="89">
        <v>0.60000000000000009</v>
      </c>
      <c r="H82" s="91" t="s">
        <v>2016</v>
      </c>
      <c r="I82" s="450" t="s">
        <v>2024</v>
      </c>
      <c r="J82" s="451"/>
    </row>
    <row r="83" spans="1:10" ht="30" customHeight="1" x14ac:dyDescent="0.2">
      <c r="A83" s="13" t="s">
        <v>2013</v>
      </c>
      <c r="B83" s="85" t="s">
        <v>1168</v>
      </c>
      <c r="C83" s="85" t="s">
        <v>1166</v>
      </c>
      <c r="D83" s="449" t="s">
        <v>1167</v>
      </c>
      <c r="E83" s="441"/>
      <c r="F83" s="84">
        <v>308</v>
      </c>
      <c r="G83" s="89">
        <v>0.60000000000000009</v>
      </c>
      <c r="H83" s="91" t="s">
        <v>2016</v>
      </c>
      <c r="I83" s="450" t="s">
        <v>2024</v>
      </c>
      <c r="J83" s="451"/>
    </row>
    <row r="84" spans="1:10" ht="30" customHeight="1" x14ac:dyDescent="0.2">
      <c r="A84" s="13" t="s">
        <v>2013</v>
      </c>
      <c r="B84" s="85" t="s">
        <v>1169</v>
      </c>
      <c r="C84" s="85" t="s">
        <v>1166</v>
      </c>
      <c r="D84" s="449" t="s">
        <v>1167</v>
      </c>
      <c r="E84" s="441"/>
      <c r="F84" s="84">
        <v>308</v>
      </c>
      <c r="G84" s="89">
        <v>0.60000000000000009</v>
      </c>
      <c r="H84" s="91" t="s">
        <v>2016</v>
      </c>
      <c r="I84" s="450" t="s">
        <v>2024</v>
      </c>
      <c r="J84" s="451"/>
    </row>
    <row r="85" spans="1:10" ht="30" customHeight="1" x14ac:dyDescent="0.2">
      <c r="A85" s="13" t="s">
        <v>2013</v>
      </c>
      <c r="B85" s="85" t="s">
        <v>2025</v>
      </c>
      <c r="C85" s="85" t="s">
        <v>1166</v>
      </c>
      <c r="D85" s="449" t="s">
        <v>1170</v>
      </c>
      <c r="E85" s="441"/>
      <c r="F85" s="84" t="s">
        <v>1</v>
      </c>
      <c r="G85" s="89" t="s">
        <v>1</v>
      </c>
      <c r="H85" s="91" t="s">
        <v>2016</v>
      </c>
      <c r="I85" s="450" t="s">
        <v>2024</v>
      </c>
      <c r="J85" s="451"/>
    </row>
    <row r="86" spans="1:10" ht="30" customHeight="1" x14ac:dyDescent="0.2">
      <c r="A86" s="13" t="s">
        <v>2013</v>
      </c>
      <c r="B86" s="85" t="s">
        <v>2026</v>
      </c>
      <c r="C86" s="85" t="s">
        <v>1166</v>
      </c>
      <c r="D86" s="449" t="s">
        <v>1171</v>
      </c>
      <c r="E86" s="441"/>
      <c r="F86" s="84" t="s">
        <v>1</v>
      </c>
      <c r="G86" s="89" t="s">
        <v>1</v>
      </c>
      <c r="H86" s="91" t="s">
        <v>2016</v>
      </c>
      <c r="I86" s="450" t="s">
        <v>2024</v>
      </c>
      <c r="J86" s="451"/>
    </row>
    <row r="87" spans="1:10" ht="30" customHeight="1" x14ac:dyDescent="0.2">
      <c r="A87" s="13" t="s">
        <v>2013</v>
      </c>
      <c r="B87" s="85" t="s">
        <v>2027</v>
      </c>
      <c r="C87" s="85" t="s">
        <v>1166</v>
      </c>
      <c r="D87" s="449" t="s">
        <v>1172</v>
      </c>
      <c r="E87" s="441"/>
      <c r="F87" s="84" t="s">
        <v>1</v>
      </c>
      <c r="G87" s="89" t="s">
        <v>1</v>
      </c>
      <c r="H87" s="91" t="s">
        <v>2016</v>
      </c>
      <c r="I87" s="450" t="s">
        <v>2024</v>
      </c>
      <c r="J87" s="451"/>
    </row>
    <row r="88" spans="1:10" ht="38.25" x14ac:dyDescent="0.2">
      <c r="A88" s="13" t="s">
        <v>10</v>
      </c>
      <c r="B88" s="85" t="s">
        <v>1173</v>
      </c>
      <c r="C88" s="85" t="s">
        <v>1174</v>
      </c>
      <c r="D88" s="449" t="s">
        <v>1175</v>
      </c>
      <c r="E88" s="441"/>
      <c r="F88" s="84">
        <v>220.22</v>
      </c>
      <c r="G88" s="89">
        <v>0.28000000000000003</v>
      </c>
      <c r="H88" s="91" t="s">
        <v>1199</v>
      </c>
      <c r="I88" s="450" t="s">
        <v>1201</v>
      </c>
      <c r="J88" s="451"/>
    </row>
    <row r="89" spans="1:10" ht="38.25" x14ac:dyDescent="0.2">
      <c r="A89" s="13" t="s">
        <v>10</v>
      </c>
      <c r="B89" s="85" t="s">
        <v>1176</v>
      </c>
      <c r="C89" s="85" t="s">
        <v>1177</v>
      </c>
      <c r="D89" s="449" t="s">
        <v>1175</v>
      </c>
      <c r="E89" s="441"/>
      <c r="F89" s="84">
        <v>147.75</v>
      </c>
      <c r="G89" s="89">
        <v>0.28000000000000003</v>
      </c>
      <c r="H89" s="91" t="s">
        <v>1200</v>
      </c>
      <c r="I89" s="450" t="s">
        <v>1202</v>
      </c>
      <c r="J89" s="451"/>
    </row>
    <row r="90" spans="1:10" ht="30" customHeight="1" x14ac:dyDescent="0.2">
      <c r="A90" s="13" t="s">
        <v>10</v>
      </c>
      <c r="B90" s="85" t="s">
        <v>1178</v>
      </c>
      <c r="C90" s="85" t="s">
        <v>1179</v>
      </c>
      <c r="D90" s="449" t="s">
        <v>1175</v>
      </c>
      <c r="E90" s="441"/>
      <c r="F90" s="84">
        <v>47.19</v>
      </c>
      <c r="G90" s="89">
        <v>0.28000000000000003</v>
      </c>
      <c r="H90" s="91" t="s">
        <v>1154</v>
      </c>
      <c r="I90" s="450"/>
      <c r="J90" s="451"/>
    </row>
    <row r="91" spans="1:10" ht="30" customHeight="1" x14ac:dyDescent="0.2">
      <c r="A91" s="13" t="s">
        <v>10</v>
      </c>
      <c r="B91" s="85" t="s">
        <v>1180</v>
      </c>
      <c r="C91" s="85" t="s">
        <v>1181</v>
      </c>
      <c r="D91" s="449" t="s">
        <v>1182</v>
      </c>
      <c r="E91" s="441"/>
      <c r="F91" s="84">
        <v>888.75</v>
      </c>
      <c r="G91" s="89">
        <v>0.28000000000000003</v>
      </c>
      <c r="H91" s="91" t="s">
        <v>1156</v>
      </c>
      <c r="I91" s="450" t="s">
        <v>1203</v>
      </c>
      <c r="J91" s="451"/>
    </row>
    <row r="92" spans="1:10" ht="30" customHeight="1" x14ac:dyDescent="0.2">
      <c r="A92" s="13" t="s">
        <v>10</v>
      </c>
      <c r="B92" s="85" t="s">
        <v>1183</v>
      </c>
      <c r="C92" s="85" t="s">
        <v>1184</v>
      </c>
      <c r="D92" s="449" t="s">
        <v>1182</v>
      </c>
      <c r="E92" s="441"/>
      <c r="F92" s="84">
        <v>55.05</v>
      </c>
      <c r="G92" s="89">
        <v>0.28000000000000003</v>
      </c>
      <c r="H92" s="91" t="s">
        <v>1156</v>
      </c>
      <c r="I92" s="450"/>
      <c r="J92" s="451"/>
    </row>
    <row r="93" spans="1:10" ht="30" customHeight="1" x14ac:dyDescent="0.2">
      <c r="A93" s="13" t="s">
        <v>10</v>
      </c>
      <c r="B93" s="85" t="s">
        <v>1185</v>
      </c>
      <c r="C93" s="85" t="s">
        <v>1185</v>
      </c>
      <c r="D93" s="449" t="s">
        <v>1182</v>
      </c>
      <c r="E93" s="441"/>
      <c r="F93" s="84">
        <v>48.4</v>
      </c>
      <c r="G93" s="89">
        <v>0.28000000000000003</v>
      </c>
      <c r="H93" s="91" t="s">
        <v>1156</v>
      </c>
      <c r="I93" s="450"/>
      <c r="J93" s="451"/>
    </row>
    <row r="94" spans="1:10" ht="30" customHeight="1" x14ac:dyDescent="0.2">
      <c r="A94" s="13" t="s">
        <v>10</v>
      </c>
      <c r="B94" s="85" t="s">
        <v>1186</v>
      </c>
      <c r="C94" s="85" t="s">
        <v>1187</v>
      </c>
      <c r="D94" s="449" t="s">
        <v>1182</v>
      </c>
      <c r="E94" s="441"/>
      <c r="F94" s="84">
        <v>432.57</v>
      </c>
      <c r="G94" s="89">
        <v>0.28000000000000003</v>
      </c>
      <c r="H94" s="91" t="s">
        <v>1156</v>
      </c>
      <c r="I94" s="450" t="s">
        <v>1204</v>
      </c>
      <c r="J94" s="451"/>
    </row>
    <row r="95" spans="1:10" ht="30" customHeight="1" x14ac:dyDescent="0.2">
      <c r="A95" s="13" t="s">
        <v>10</v>
      </c>
      <c r="B95" s="85" t="s">
        <v>1186</v>
      </c>
      <c r="C95" s="85" t="s">
        <v>1188</v>
      </c>
      <c r="D95" s="449" t="s">
        <v>1182</v>
      </c>
      <c r="E95" s="441"/>
      <c r="F95" s="84">
        <v>520.66</v>
      </c>
      <c r="G95" s="89">
        <v>0.28000000000000003</v>
      </c>
      <c r="H95" s="91" t="s">
        <v>1156</v>
      </c>
      <c r="I95" s="450" t="s">
        <v>1205</v>
      </c>
      <c r="J95" s="451"/>
    </row>
    <row r="96" spans="1:10" ht="30" customHeight="1" x14ac:dyDescent="0.2">
      <c r="A96" s="13" t="s">
        <v>10</v>
      </c>
      <c r="B96" s="85" t="s">
        <v>1189</v>
      </c>
      <c r="C96" s="85" t="s">
        <v>1190</v>
      </c>
      <c r="D96" s="449" t="s">
        <v>1182</v>
      </c>
      <c r="E96" s="441"/>
      <c r="F96" s="84">
        <v>28.7</v>
      </c>
      <c r="G96" s="89">
        <v>0.28000000000000003</v>
      </c>
      <c r="H96" s="91" t="s">
        <v>1156</v>
      </c>
      <c r="I96" s="450"/>
      <c r="J96" s="451"/>
    </row>
    <row r="97" spans="1:10" ht="30" customHeight="1" x14ac:dyDescent="0.2">
      <c r="A97" s="13" t="s">
        <v>10</v>
      </c>
      <c r="B97" s="85" t="s">
        <v>1191</v>
      </c>
      <c r="C97" s="85" t="s">
        <v>1192</v>
      </c>
      <c r="D97" s="449" t="s">
        <v>1193</v>
      </c>
      <c r="E97" s="441"/>
      <c r="F97" s="84">
        <v>292.58</v>
      </c>
      <c r="G97" s="89">
        <v>0.28000000000000003</v>
      </c>
      <c r="H97" s="91" t="s">
        <v>1154</v>
      </c>
      <c r="I97" s="450" t="s">
        <v>1206</v>
      </c>
      <c r="J97" s="451"/>
    </row>
    <row r="98" spans="1:10" ht="30" customHeight="1" x14ac:dyDescent="0.2">
      <c r="A98" s="13" t="s">
        <v>10</v>
      </c>
      <c r="B98" s="85" t="s">
        <v>1178</v>
      </c>
      <c r="C98" s="85" t="s">
        <v>1194</v>
      </c>
      <c r="D98" s="449" t="s">
        <v>1193</v>
      </c>
      <c r="E98" s="441"/>
      <c r="F98" s="84">
        <v>104.58</v>
      </c>
      <c r="G98" s="89">
        <v>0.28000000000000003</v>
      </c>
      <c r="H98" s="91" t="s">
        <v>1154</v>
      </c>
      <c r="I98" s="450" t="s">
        <v>1207</v>
      </c>
      <c r="J98" s="451"/>
    </row>
    <row r="99" spans="1:10" ht="30" customHeight="1" x14ac:dyDescent="0.2">
      <c r="A99" s="13" t="s">
        <v>10</v>
      </c>
      <c r="B99" s="85" t="s">
        <v>1195</v>
      </c>
      <c r="C99" s="85" t="s">
        <v>1196</v>
      </c>
      <c r="D99" s="449" t="s">
        <v>1193</v>
      </c>
      <c r="E99" s="441"/>
      <c r="F99" s="84">
        <v>385.53</v>
      </c>
      <c r="G99" s="89">
        <v>0.28000000000000003</v>
      </c>
      <c r="H99" s="91" t="s">
        <v>1156</v>
      </c>
      <c r="I99" s="450" t="s">
        <v>1208</v>
      </c>
      <c r="J99" s="451"/>
    </row>
    <row r="100" spans="1:10" ht="30" customHeight="1" x14ac:dyDescent="0.2">
      <c r="A100" s="13" t="s">
        <v>10</v>
      </c>
      <c r="B100" s="85" t="s">
        <v>1197</v>
      </c>
      <c r="C100" s="85" t="s">
        <v>1198</v>
      </c>
      <c r="D100" s="449" t="s">
        <v>1193</v>
      </c>
      <c r="E100" s="441"/>
      <c r="F100" s="84">
        <v>104.58</v>
      </c>
      <c r="G100" s="89">
        <v>0.28000000000000003</v>
      </c>
      <c r="H100" s="91" t="s">
        <v>1156</v>
      </c>
      <c r="I100" s="450" t="s">
        <v>1207</v>
      </c>
      <c r="J100" s="451"/>
    </row>
    <row r="101" spans="1:10" ht="20.100000000000001" customHeight="1" x14ac:dyDescent="0.2">
      <c r="A101" s="13" t="s">
        <v>7</v>
      </c>
      <c r="B101" s="85" t="s">
        <v>1209</v>
      </c>
      <c r="C101" s="85" t="s">
        <v>1210</v>
      </c>
      <c r="D101" s="449" t="s">
        <v>1211</v>
      </c>
      <c r="E101" s="441"/>
      <c r="F101" s="84">
        <v>175.12</v>
      </c>
      <c r="G101" s="89">
        <v>0.2</v>
      </c>
      <c r="H101" s="91" t="s">
        <v>1225</v>
      </c>
      <c r="I101" s="458" t="s">
        <v>1226</v>
      </c>
      <c r="J101" s="459"/>
    </row>
    <row r="102" spans="1:10" ht="20.100000000000001" customHeight="1" x14ac:dyDescent="0.2">
      <c r="A102" s="13" t="s">
        <v>7</v>
      </c>
      <c r="B102" s="85" t="s">
        <v>1212</v>
      </c>
      <c r="C102" s="85" t="s">
        <v>1213</v>
      </c>
      <c r="D102" s="449" t="s">
        <v>1170</v>
      </c>
      <c r="E102" s="441"/>
      <c r="F102" s="84">
        <v>289.52</v>
      </c>
      <c r="G102" s="89">
        <v>0.2</v>
      </c>
      <c r="H102" s="91" t="s">
        <v>1225</v>
      </c>
      <c r="I102" s="93" t="s">
        <v>1227</v>
      </c>
      <c r="J102" s="92"/>
    </row>
    <row r="103" spans="1:10" ht="20.100000000000001" customHeight="1" x14ac:dyDescent="0.2">
      <c r="A103" s="13" t="s">
        <v>7</v>
      </c>
      <c r="B103" s="85" t="s">
        <v>1214</v>
      </c>
      <c r="C103" s="85" t="s">
        <v>1215</v>
      </c>
      <c r="D103" s="449" t="s">
        <v>1211</v>
      </c>
      <c r="E103" s="441"/>
      <c r="F103" s="84">
        <v>131.56</v>
      </c>
      <c r="G103" s="89">
        <v>0.6</v>
      </c>
      <c r="H103" s="91" t="s">
        <v>1225</v>
      </c>
      <c r="I103" s="450" t="s">
        <v>1228</v>
      </c>
      <c r="J103" s="451"/>
    </row>
    <row r="104" spans="1:10" ht="30" customHeight="1" x14ac:dyDescent="0.2">
      <c r="A104" s="13" t="s">
        <v>7</v>
      </c>
      <c r="B104" s="85" t="s">
        <v>1216</v>
      </c>
      <c r="C104" s="85" t="s">
        <v>1217</v>
      </c>
      <c r="D104" s="449" t="s">
        <v>1171</v>
      </c>
      <c r="E104" s="441"/>
      <c r="F104" s="84">
        <v>459.36</v>
      </c>
      <c r="G104" s="89">
        <v>0.2</v>
      </c>
      <c r="H104" s="91" t="s">
        <v>1225</v>
      </c>
      <c r="I104" s="450" t="s">
        <v>1229</v>
      </c>
      <c r="J104" s="451"/>
    </row>
    <row r="105" spans="1:10" ht="25.5" x14ac:dyDescent="0.2">
      <c r="A105" s="13" t="s">
        <v>7</v>
      </c>
      <c r="B105" s="85" t="s">
        <v>1218</v>
      </c>
      <c r="C105" s="85" t="s">
        <v>1219</v>
      </c>
      <c r="D105" s="449" t="s">
        <v>1220</v>
      </c>
      <c r="E105" s="441"/>
      <c r="F105" s="84">
        <v>417.56</v>
      </c>
      <c r="G105" s="89">
        <v>0.6</v>
      </c>
      <c r="H105" s="91" t="s">
        <v>1225</v>
      </c>
      <c r="I105" s="450" t="s">
        <v>1230</v>
      </c>
      <c r="J105" s="451"/>
    </row>
    <row r="106" spans="1:10" ht="30" customHeight="1" x14ac:dyDescent="0.2">
      <c r="A106" s="13" t="s">
        <v>7</v>
      </c>
      <c r="B106" s="85" t="s">
        <v>1221</v>
      </c>
      <c r="C106" s="85" t="s">
        <v>1222</v>
      </c>
      <c r="D106" s="449" t="s">
        <v>1170</v>
      </c>
      <c r="E106" s="441"/>
      <c r="F106" s="84">
        <v>694.32</v>
      </c>
      <c r="G106" s="89">
        <v>0.2</v>
      </c>
      <c r="H106" s="91" t="s">
        <v>1225</v>
      </c>
      <c r="I106" s="450" t="s">
        <v>1231</v>
      </c>
      <c r="J106" s="451"/>
    </row>
    <row r="107" spans="1:10" ht="30" customHeight="1" x14ac:dyDescent="0.2">
      <c r="A107" s="13" t="s">
        <v>7</v>
      </c>
      <c r="B107" s="85" t="s">
        <v>1223</v>
      </c>
      <c r="C107" s="85" t="s">
        <v>1224</v>
      </c>
      <c r="D107" s="449" t="s">
        <v>1171</v>
      </c>
      <c r="E107" s="441"/>
      <c r="F107" s="84">
        <v>580.79999999999995</v>
      </c>
      <c r="G107" s="89">
        <v>0.2</v>
      </c>
      <c r="H107" s="91" t="s">
        <v>1232</v>
      </c>
      <c r="I107" s="450" t="s">
        <v>1233</v>
      </c>
      <c r="J107" s="451"/>
    </row>
    <row r="108" spans="1:10" ht="20.100000000000001" customHeight="1" x14ac:dyDescent="0.2">
      <c r="A108" s="13" t="s">
        <v>8</v>
      </c>
      <c r="B108" s="85" t="s">
        <v>1238</v>
      </c>
      <c r="C108" s="85" t="s">
        <v>1239</v>
      </c>
      <c r="D108" s="449" t="s">
        <v>1170</v>
      </c>
      <c r="E108" s="441"/>
      <c r="F108" s="84">
        <v>240.63</v>
      </c>
      <c r="G108" s="89">
        <v>0.05</v>
      </c>
      <c r="H108" s="91" t="s">
        <v>1245</v>
      </c>
      <c r="I108" s="450"/>
      <c r="J108" s="451"/>
    </row>
    <row r="109" spans="1:10" ht="20.100000000000001" customHeight="1" x14ac:dyDescent="0.2">
      <c r="A109" s="13" t="s">
        <v>8</v>
      </c>
      <c r="B109" s="85" t="s">
        <v>1240</v>
      </c>
      <c r="C109" s="85" t="s">
        <v>1241</v>
      </c>
      <c r="D109" s="449" t="s">
        <v>1170</v>
      </c>
      <c r="E109" s="441"/>
      <c r="F109" s="84">
        <v>392.86</v>
      </c>
      <c r="G109" s="89">
        <v>0.05</v>
      </c>
      <c r="H109" s="91" t="s">
        <v>1245</v>
      </c>
      <c r="I109" s="450"/>
      <c r="J109" s="451"/>
    </row>
    <row r="110" spans="1:10" ht="20.100000000000001" customHeight="1" x14ac:dyDescent="0.2">
      <c r="A110" s="13" t="s">
        <v>8</v>
      </c>
      <c r="B110" s="85" t="s">
        <v>1242</v>
      </c>
      <c r="C110" s="85" t="s">
        <v>1243</v>
      </c>
      <c r="D110" s="449" t="s">
        <v>1244</v>
      </c>
      <c r="E110" s="441"/>
      <c r="F110" s="84">
        <v>345</v>
      </c>
      <c r="G110" s="89">
        <v>0.05</v>
      </c>
      <c r="H110" s="91" t="s">
        <v>1245</v>
      </c>
      <c r="I110" s="450"/>
      <c r="J110" s="451"/>
    </row>
  </sheetData>
  <sheetProtection algorithmName="SHA-512" hashValue="0cmXJBZTlYRdX/bbF2NFiJy5hOjOIciP2eIttZ3ZmBNDgCxEQnS9xNPRilYwg38E6usQfUZuW/vl/zWELI3iTQ==" saltValue="C9vKIN3glJ4KEoyLqhIWGw==" spinCount="100000" sheet="1" formatCells="0" formatColumns="0" formatRows="0" sort="0" autoFilter="0" pivotTables="0"/>
  <autoFilter ref="A6:J78" xr:uid="{00000000-0009-0000-0000-00000C000000}"/>
  <mergeCells count="69">
    <mergeCell ref="A1:J1"/>
    <mergeCell ref="A2:J2"/>
    <mergeCell ref="A3:J3"/>
    <mergeCell ref="I106:J106"/>
    <mergeCell ref="I108:J108"/>
    <mergeCell ref="D106:E106"/>
    <mergeCell ref="D103:E103"/>
    <mergeCell ref="D104:E104"/>
    <mergeCell ref="D105:E105"/>
    <mergeCell ref="I101:J101"/>
    <mergeCell ref="I103:J103"/>
    <mergeCell ref="I104:J104"/>
    <mergeCell ref="I105:J105"/>
    <mergeCell ref="D101:E101"/>
    <mergeCell ref="D102:E102"/>
    <mergeCell ref="I96:J96"/>
    <mergeCell ref="D109:E109"/>
    <mergeCell ref="I109:J109"/>
    <mergeCell ref="D110:E110"/>
    <mergeCell ref="I110:J110"/>
    <mergeCell ref="I107:J107"/>
    <mergeCell ref="D108:E108"/>
    <mergeCell ref="D107:E107"/>
    <mergeCell ref="I97:J97"/>
    <mergeCell ref="I98:J98"/>
    <mergeCell ref="I99:J99"/>
    <mergeCell ref="I100:J100"/>
    <mergeCell ref="D96:E96"/>
    <mergeCell ref="D97:E97"/>
    <mergeCell ref="D98:E98"/>
    <mergeCell ref="D99:E99"/>
    <mergeCell ref="D100:E100"/>
    <mergeCell ref="I88:J88"/>
    <mergeCell ref="I90:J90"/>
    <mergeCell ref="I91:J91"/>
    <mergeCell ref="I94:J94"/>
    <mergeCell ref="I95:J95"/>
    <mergeCell ref="I89:J89"/>
    <mergeCell ref="I92:J92"/>
    <mergeCell ref="I93:J93"/>
    <mergeCell ref="D95:E95"/>
    <mergeCell ref="I84:J84"/>
    <mergeCell ref="I85:J85"/>
    <mergeCell ref="I86:J86"/>
    <mergeCell ref="I87:J87"/>
    <mergeCell ref="D88:E88"/>
    <mergeCell ref="D89:E89"/>
    <mergeCell ref="D84:E84"/>
    <mergeCell ref="D85:E85"/>
    <mergeCell ref="D86:E86"/>
    <mergeCell ref="D87:E87"/>
    <mergeCell ref="D90:E90"/>
    <mergeCell ref="D91:E91"/>
    <mergeCell ref="D92:E92"/>
    <mergeCell ref="D93:E93"/>
    <mergeCell ref="D94:E94"/>
    <mergeCell ref="D83:E83"/>
    <mergeCell ref="I82:J82"/>
    <mergeCell ref="I83:J83"/>
    <mergeCell ref="A5:J5"/>
    <mergeCell ref="J7:J8"/>
    <mergeCell ref="J9:J13"/>
    <mergeCell ref="J14:J15"/>
    <mergeCell ref="J16:J21"/>
    <mergeCell ref="J22:J24"/>
    <mergeCell ref="A80:J80"/>
    <mergeCell ref="D81:E81"/>
    <mergeCell ref="I81:J81"/>
    <mergeCell ref="D82:E82"/>
  </mergeCells>
  <dataValidations count="1">
    <dataValidation type="list" allowBlank="1" showInputMessage="1" showErrorMessage="1" sqref="D7:D60" xr:uid="{00000000-0002-0000-0C00-000000000000}">
      <formula1>"Perpetual, Subscription"</formula1>
    </dataValidation>
  </dataValidations>
  <hyperlinks>
    <hyperlink ref="A3:J3" r:id="rId1" display="Please refer to the User Guide for further information here"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tint="0.39997558519241921"/>
  </sheetPr>
  <dimension ref="A1:R129"/>
  <sheetViews>
    <sheetView topLeftCell="G1" workbookViewId="0">
      <selection activeCell="R10" sqref="R10"/>
    </sheetView>
  </sheetViews>
  <sheetFormatPr defaultRowHeight="18" customHeight="1" x14ac:dyDescent="0.2"/>
  <cols>
    <col min="1" max="1" width="11.42578125" customWidth="1"/>
    <col min="2" max="2" width="34" customWidth="1"/>
    <col min="3" max="3" width="12.28515625" customWidth="1"/>
    <col min="4" max="4" width="29.28515625" customWidth="1"/>
    <col min="6" max="6" width="22.42578125" customWidth="1"/>
    <col min="7" max="7" width="15.85546875" customWidth="1"/>
    <col min="8" max="8" width="3.7109375" customWidth="1"/>
    <col min="9" max="9" width="15.85546875" customWidth="1"/>
    <col min="10" max="10" width="12.85546875" style="38" customWidth="1"/>
    <col min="11" max="11" width="23.85546875" style="55" customWidth="1"/>
    <col min="12" max="12" width="24" customWidth="1"/>
    <col min="13" max="13" width="19.5703125" customWidth="1"/>
    <col min="14" max="14" width="24.28515625" customWidth="1"/>
    <col min="17" max="17" width="19.5703125" customWidth="1"/>
    <col min="18" max="18" width="30.5703125" customWidth="1"/>
  </cols>
  <sheetData>
    <row r="1" spans="1:18" ht="18" customHeight="1" x14ac:dyDescent="0.2">
      <c r="A1" s="45" t="s">
        <v>887</v>
      </c>
      <c r="B1" s="45" t="s">
        <v>888</v>
      </c>
      <c r="C1" s="45" t="s">
        <v>900</v>
      </c>
      <c r="D1" s="45" t="s">
        <v>893</v>
      </c>
      <c r="E1" s="45" t="s">
        <v>900</v>
      </c>
      <c r="F1" s="45" t="s">
        <v>894</v>
      </c>
      <c r="G1" s="45" t="s">
        <v>1838</v>
      </c>
      <c r="H1" s="46"/>
      <c r="I1" s="45" t="s">
        <v>895</v>
      </c>
      <c r="J1" s="47"/>
      <c r="K1" s="53" t="s">
        <v>331</v>
      </c>
      <c r="L1" s="50" t="s">
        <v>906</v>
      </c>
      <c r="M1" s="50" t="s">
        <v>4</v>
      </c>
      <c r="N1" s="50" t="s">
        <v>16</v>
      </c>
      <c r="O1" s="50" t="s">
        <v>41</v>
      </c>
      <c r="P1" s="50" t="s">
        <v>905</v>
      </c>
      <c r="Q1" s="50"/>
      <c r="R1" s="50" t="s">
        <v>918</v>
      </c>
    </row>
    <row r="2" spans="1:18" ht="47.25" customHeight="1" x14ac:dyDescent="0.2">
      <c r="A2" s="48" t="s">
        <v>402</v>
      </c>
      <c r="B2" s="166" t="s">
        <v>1740</v>
      </c>
      <c r="C2" s="48" t="s">
        <v>901</v>
      </c>
      <c r="D2" s="166" t="s">
        <v>1741</v>
      </c>
      <c r="E2" s="48" t="s">
        <v>901</v>
      </c>
      <c r="F2" s="47" t="s">
        <v>2013</v>
      </c>
      <c r="G2" s="47" t="s">
        <v>10</v>
      </c>
      <c r="H2" s="47" t="s">
        <v>431</v>
      </c>
      <c r="I2" s="47" t="s">
        <v>896</v>
      </c>
      <c r="J2" s="47"/>
      <c r="K2" s="54" t="str">
        <f t="shared" ref="K2:K33" si="0">M2&amp;"_"&amp;IF(N2="Fuji Business Innovation","FX",LEFT(N2,2))&amp;"_"&amp;LEFT(O2,1)&amp;"_"&amp;P2</f>
        <v>MFD-Colour_FX_E_1</v>
      </c>
      <c r="L2" s="40" t="e">
        <f>IF(VLOOKUP(K2,Data!A:H,8,FALSE)=0,"Not Offered",VLOOKUP(K2,Data!A:H,8,FALSE))</f>
        <v>#N/A</v>
      </c>
      <c r="M2" s="39" t="s">
        <v>402</v>
      </c>
      <c r="N2" s="40" t="s">
        <v>2014</v>
      </c>
      <c r="O2" s="40" t="s">
        <v>889</v>
      </c>
      <c r="P2" s="40">
        <v>1</v>
      </c>
      <c r="Q2" s="56"/>
      <c r="R2" s="8" t="s">
        <v>920</v>
      </c>
    </row>
    <row r="3" spans="1:18" ht="37.5" customHeight="1" x14ac:dyDescent="0.2">
      <c r="A3" s="48" t="s">
        <v>434</v>
      </c>
      <c r="B3" s="166" t="s">
        <v>1836</v>
      </c>
      <c r="C3" s="48" t="s">
        <v>1835</v>
      </c>
      <c r="D3" s="166" t="s">
        <v>1837</v>
      </c>
      <c r="E3" s="48" t="s">
        <v>1835</v>
      </c>
      <c r="F3" s="47" t="s">
        <v>10</v>
      </c>
      <c r="G3" s="47" t="s">
        <v>7</v>
      </c>
      <c r="H3" s="47" t="s">
        <v>431</v>
      </c>
      <c r="I3" s="47" t="s">
        <v>898</v>
      </c>
      <c r="J3" s="47"/>
      <c r="K3" s="54" t="str">
        <f t="shared" si="0"/>
        <v>MFD-Colour_FX_E_2</v>
      </c>
      <c r="L3" s="40" t="e">
        <f>IF(VLOOKUP(K3,Data!A:H,8,FALSE)=0,"Not Offered",VLOOKUP(K3,Data!A:H,8,FALSE))</f>
        <v>#N/A</v>
      </c>
      <c r="M3" s="39" t="s">
        <v>402</v>
      </c>
      <c r="N3" s="40" t="s">
        <v>2014</v>
      </c>
      <c r="O3" s="40" t="s">
        <v>889</v>
      </c>
      <c r="P3" s="40">
        <v>2</v>
      </c>
      <c r="Q3" s="56"/>
      <c r="R3" s="8" t="s">
        <v>1794</v>
      </c>
    </row>
    <row r="4" spans="1:18" ht="40.5" customHeight="1" x14ac:dyDescent="0.2">
      <c r="A4" s="48" t="s">
        <v>440</v>
      </c>
      <c r="B4" s="166" t="s">
        <v>1738</v>
      </c>
      <c r="C4" s="48" t="s">
        <v>902</v>
      </c>
      <c r="D4" s="166" t="s">
        <v>1742</v>
      </c>
      <c r="E4" s="48" t="s">
        <v>904</v>
      </c>
      <c r="F4" s="47" t="s">
        <v>7</v>
      </c>
      <c r="G4" s="47" t="s">
        <v>8</v>
      </c>
      <c r="H4" s="47" t="s">
        <v>431</v>
      </c>
      <c r="I4" s="47" t="s">
        <v>907</v>
      </c>
      <c r="J4" s="47"/>
      <c r="K4" s="54" t="str">
        <f t="shared" si="0"/>
        <v>MFD-Colour_Ko_E_1</v>
      </c>
      <c r="L4" s="40" t="str">
        <f>IF(VLOOKUP(K4,Data!A:H,8,FALSE)=0,"Not Offered",VLOOKUP(K4,Data!A:H,8,FALSE))</f>
        <v>bizhub C227i</v>
      </c>
      <c r="M4" s="39" t="s">
        <v>402</v>
      </c>
      <c r="N4" s="40" t="s">
        <v>10</v>
      </c>
      <c r="O4" s="40" t="s">
        <v>889</v>
      </c>
      <c r="P4" s="40">
        <v>1</v>
      </c>
      <c r="Q4" s="56"/>
      <c r="R4" s="8" t="s">
        <v>1795</v>
      </c>
    </row>
    <row r="5" spans="1:18" ht="41.25" customHeight="1" x14ac:dyDescent="0.2">
      <c r="A5" s="48" t="s">
        <v>436</v>
      </c>
      <c r="B5" s="166" t="s">
        <v>1739</v>
      </c>
      <c r="C5" s="48" t="s">
        <v>903</v>
      </c>
      <c r="D5" s="47"/>
      <c r="E5" s="47"/>
      <c r="F5" s="47" t="s">
        <v>8</v>
      </c>
      <c r="G5" s="47"/>
      <c r="H5" s="47"/>
      <c r="I5" s="47" t="s">
        <v>908</v>
      </c>
      <c r="J5" s="47"/>
      <c r="K5" s="54" t="str">
        <f t="shared" si="0"/>
        <v>MFD-Colour_Ko_E_2</v>
      </c>
      <c r="L5" s="40" t="str">
        <f>IF(VLOOKUP(K5,Data!A:H,8,FALSE)=0,"Not Offered",VLOOKUP(K5,Data!A:H,8,FALSE))</f>
        <v>bizhub C250i</v>
      </c>
      <c r="M5" s="39" t="s">
        <v>402</v>
      </c>
      <c r="N5" s="40" t="s">
        <v>10</v>
      </c>
      <c r="O5" s="40" t="s">
        <v>889</v>
      </c>
      <c r="P5" s="40">
        <v>2</v>
      </c>
      <c r="Q5" s="56"/>
      <c r="R5" s="8" t="s">
        <v>1793</v>
      </c>
    </row>
    <row r="6" spans="1:18" ht="27.95" customHeight="1" x14ac:dyDescent="0.2">
      <c r="A6" s="47"/>
      <c r="B6" s="47"/>
      <c r="C6" s="47"/>
      <c r="D6" s="47"/>
      <c r="E6" s="47"/>
      <c r="F6" s="47"/>
      <c r="G6" s="47"/>
      <c r="H6" s="47"/>
      <c r="I6" s="47" t="s">
        <v>909</v>
      </c>
      <c r="J6" s="47"/>
      <c r="K6" s="54" t="str">
        <f t="shared" si="0"/>
        <v>MFD-Colour_Ky_E_1</v>
      </c>
      <c r="L6" s="40" t="str">
        <f>IF(VLOOKUP(K6,Data!A:H,8,FALSE)=0,"Not Offered",VLOOKUP(K6,Data!A:H,8,FALSE))</f>
        <v>ECOSYS M8124cidn</v>
      </c>
      <c r="M6" s="39" t="s">
        <v>402</v>
      </c>
      <c r="N6" s="40" t="s">
        <v>7</v>
      </c>
      <c r="O6" s="40" t="s">
        <v>889</v>
      </c>
      <c r="P6" s="40">
        <v>1</v>
      </c>
      <c r="Q6" s="56"/>
      <c r="R6" s="8" t="s">
        <v>1796</v>
      </c>
    </row>
    <row r="7" spans="1:18" ht="18" customHeight="1" x14ac:dyDescent="0.2">
      <c r="A7" s="47"/>
      <c r="B7" s="47"/>
      <c r="C7" s="47"/>
      <c r="D7" s="47"/>
      <c r="E7" s="47"/>
      <c r="F7" s="47"/>
      <c r="G7" s="47"/>
      <c r="H7" s="47"/>
      <c r="I7" s="47" t="s">
        <v>897</v>
      </c>
      <c r="J7" s="47"/>
      <c r="K7" s="54" t="str">
        <f t="shared" si="0"/>
        <v>MFD-Colour_Ky_E_2</v>
      </c>
      <c r="L7" s="40" t="str">
        <f>IF(VLOOKUP(K7,Data!A:H,8,FALSE)=0,"Not Offered",VLOOKUP(K7,Data!A:H,8,FALSE))</f>
        <v>TASKalfa 2554ci</v>
      </c>
      <c r="M7" s="39" t="s">
        <v>402</v>
      </c>
      <c r="N7" s="40" t="s">
        <v>7</v>
      </c>
      <c r="O7" s="40" t="s">
        <v>889</v>
      </c>
      <c r="P7" s="40">
        <v>2</v>
      </c>
      <c r="Q7" s="56"/>
      <c r="R7" s="8" t="s">
        <v>1797</v>
      </c>
    </row>
    <row r="8" spans="1:18" ht="18" customHeight="1" x14ac:dyDescent="0.2">
      <c r="A8" s="48" t="s">
        <v>1791</v>
      </c>
      <c r="B8" s="47"/>
      <c r="C8" s="47"/>
      <c r="D8" s="47"/>
      <c r="E8" s="47"/>
      <c r="F8" s="47"/>
      <c r="G8" s="47"/>
      <c r="H8" s="47"/>
      <c r="I8" s="47" t="s">
        <v>910</v>
      </c>
      <c r="J8" s="47"/>
      <c r="K8" s="54" t="str">
        <f t="shared" si="0"/>
        <v>MFD-Colour_Ri_E_1</v>
      </c>
      <c r="L8" s="40" t="str">
        <f>IF(VLOOKUP(K8,Data!A:H,8,FALSE)=0,"Not Offered",VLOOKUP(K8,Data!A:H,8,FALSE))</f>
        <v>IM C2010</v>
      </c>
      <c r="M8" s="39" t="s">
        <v>402</v>
      </c>
      <c r="N8" s="40" t="s">
        <v>8</v>
      </c>
      <c r="O8" s="40" t="s">
        <v>889</v>
      </c>
      <c r="P8" s="40">
        <v>1</v>
      </c>
      <c r="Q8" s="56"/>
      <c r="R8" s="8" t="s">
        <v>1799</v>
      </c>
    </row>
    <row r="9" spans="1:18" ht="18" customHeight="1" x14ac:dyDescent="0.2">
      <c r="A9" s="48" t="s">
        <v>402</v>
      </c>
      <c r="B9" s="47"/>
      <c r="C9" s="47"/>
      <c r="D9" s="47"/>
      <c r="E9" s="47"/>
      <c r="F9" s="47"/>
      <c r="G9" s="47"/>
      <c r="H9" s="47"/>
      <c r="I9" s="47" t="s">
        <v>911</v>
      </c>
      <c r="J9" s="47"/>
      <c r="K9" s="54" t="str">
        <f t="shared" si="0"/>
        <v>MFD-Colour_Ri_E_2</v>
      </c>
      <c r="L9" s="40" t="str">
        <f>IF(VLOOKUP(K9,Data!A:H,8,FALSE)=0,"Not Offered",VLOOKUP(K9,Data!A:H,8,FALSE))</f>
        <v>IM C2510</v>
      </c>
      <c r="M9" s="39" t="s">
        <v>402</v>
      </c>
      <c r="N9" s="40" t="s">
        <v>8</v>
      </c>
      <c r="O9" s="40" t="s">
        <v>889</v>
      </c>
      <c r="P9" s="40">
        <v>2</v>
      </c>
      <c r="Q9" s="56"/>
      <c r="R9" s="8" t="s">
        <v>1800</v>
      </c>
    </row>
    <row r="10" spans="1:18" ht="18" customHeight="1" x14ac:dyDescent="0.2">
      <c r="A10" s="48" t="s">
        <v>434</v>
      </c>
      <c r="B10" s="47"/>
      <c r="C10" s="47"/>
      <c r="D10" s="47"/>
      <c r="E10" s="47"/>
      <c r="F10" s="47"/>
      <c r="G10" s="47"/>
      <c r="H10" s="47"/>
      <c r="I10" s="47" t="s">
        <v>912</v>
      </c>
      <c r="J10" s="47"/>
      <c r="K10" s="54" t="str">
        <f t="shared" si="0"/>
        <v>MFD-Colour_FX_L_1</v>
      </c>
      <c r="L10" s="40" t="e">
        <f>IF(VLOOKUP(K10,Data!A:H,8,FALSE)=0,"Not Offered",VLOOKUP(K10,Data!A:H,8,FALSE))</f>
        <v>#N/A</v>
      </c>
      <c r="M10" s="39" t="s">
        <v>402</v>
      </c>
      <c r="N10" s="40" t="s">
        <v>2014</v>
      </c>
      <c r="O10" s="40" t="s">
        <v>890</v>
      </c>
      <c r="P10" s="40">
        <v>1</v>
      </c>
      <c r="Q10" s="56"/>
      <c r="R10" s="8" t="s">
        <v>1801</v>
      </c>
    </row>
    <row r="11" spans="1:18" ht="18" customHeight="1" x14ac:dyDescent="0.2">
      <c r="A11" s="48" t="s">
        <v>440</v>
      </c>
      <c r="B11" s="47"/>
      <c r="C11" s="47"/>
      <c r="D11" s="47"/>
      <c r="E11" s="47"/>
      <c r="F11" s="47"/>
      <c r="G11" s="47"/>
      <c r="H11" s="47"/>
      <c r="I11" s="47" t="s">
        <v>913</v>
      </c>
      <c r="J11" s="47"/>
      <c r="K11" s="54" t="str">
        <f t="shared" si="0"/>
        <v>MFD-Colour_FX_L_2</v>
      </c>
      <c r="L11" s="40" t="e">
        <f>IF(VLOOKUP(K11,Data!A:H,8,FALSE)=0,"Not Offered",VLOOKUP(K11,Data!A:H,8,FALSE))</f>
        <v>#N/A</v>
      </c>
      <c r="M11" s="39" t="s">
        <v>402</v>
      </c>
      <c r="N11" s="40" t="s">
        <v>2014</v>
      </c>
      <c r="O11" s="40" t="s">
        <v>890</v>
      </c>
      <c r="P11" s="40">
        <v>2</v>
      </c>
      <c r="Q11" s="56"/>
      <c r="R11" s="8" t="s">
        <v>1802</v>
      </c>
    </row>
    <row r="12" spans="1:18" ht="18" customHeight="1" x14ac:dyDescent="0.2">
      <c r="A12" s="48" t="s">
        <v>436</v>
      </c>
      <c r="B12" s="47"/>
      <c r="C12" s="47"/>
      <c r="D12" s="47"/>
      <c r="E12" s="47"/>
      <c r="F12" s="47"/>
      <c r="G12" s="47"/>
      <c r="H12" s="47"/>
      <c r="I12" s="47" t="s">
        <v>914</v>
      </c>
      <c r="J12" s="47"/>
      <c r="K12" s="54" t="str">
        <f t="shared" si="0"/>
        <v>MFD-Colour_FX_L_3</v>
      </c>
      <c r="L12" s="40" t="e">
        <f>IF(VLOOKUP(K12,Data!A:H,8,FALSE)=0,"Not Offered",VLOOKUP(K12,Data!A:H,8,FALSE))</f>
        <v>#N/A</v>
      </c>
      <c r="M12" s="39" t="s">
        <v>402</v>
      </c>
      <c r="N12" s="40" t="s">
        <v>2014</v>
      </c>
      <c r="O12" s="40" t="s">
        <v>890</v>
      </c>
      <c r="P12" s="40">
        <v>3</v>
      </c>
      <c r="Q12" s="56"/>
      <c r="R12" s="8" t="s">
        <v>1803</v>
      </c>
    </row>
    <row r="13" spans="1:18" ht="18" customHeight="1" x14ac:dyDescent="0.2">
      <c r="A13" s="47"/>
      <c r="B13" s="47"/>
      <c r="C13" s="47"/>
      <c r="D13" s="47"/>
      <c r="E13" s="47"/>
      <c r="F13" s="47"/>
      <c r="G13" s="47"/>
      <c r="H13" s="47"/>
      <c r="I13" s="47" t="s">
        <v>915</v>
      </c>
      <c r="J13" s="47"/>
      <c r="K13" s="54" t="str">
        <f t="shared" si="0"/>
        <v>MFD-Colour_FX_L_4</v>
      </c>
      <c r="L13" s="40" t="e">
        <f>IF(VLOOKUP(K13,Data!A:H,8,FALSE)=0,"Not Offered",VLOOKUP(K13,Data!A:H,8,FALSE))</f>
        <v>#N/A</v>
      </c>
      <c r="M13" s="39" t="s">
        <v>402</v>
      </c>
      <c r="N13" s="40" t="s">
        <v>2014</v>
      </c>
      <c r="O13" s="40" t="s">
        <v>890</v>
      </c>
      <c r="P13" s="40">
        <v>4</v>
      </c>
      <c r="Q13" s="56"/>
      <c r="R13" s="8" t="s">
        <v>1804</v>
      </c>
    </row>
    <row r="14" spans="1:18" ht="18" customHeight="1" x14ac:dyDescent="0.2">
      <c r="A14" s="47"/>
      <c r="B14" s="47"/>
      <c r="C14" s="47"/>
      <c r="D14" s="47"/>
      <c r="E14" s="47"/>
      <c r="F14" s="47"/>
      <c r="G14" s="47"/>
      <c r="H14" s="47"/>
      <c r="I14" s="47" t="s">
        <v>916</v>
      </c>
      <c r="J14" s="47"/>
      <c r="K14" s="54" t="str">
        <f t="shared" si="0"/>
        <v>MFD-Colour_Ko_L_1</v>
      </c>
      <c r="L14" s="40" t="str">
        <f>IF(VLOOKUP(K14,Data!A:H,8,FALSE)=0,"Not Offered",VLOOKUP(K14,Data!A:H,8,FALSE))</f>
        <v>bizhub C300i</v>
      </c>
      <c r="M14" s="39" t="s">
        <v>402</v>
      </c>
      <c r="N14" s="40" t="s">
        <v>10</v>
      </c>
      <c r="O14" s="40" t="s">
        <v>890</v>
      </c>
      <c r="P14" s="40">
        <v>1</v>
      </c>
      <c r="Q14" s="56"/>
      <c r="R14" s="8" t="s">
        <v>1798</v>
      </c>
    </row>
    <row r="15" spans="1:18" ht="18" customHeight="1" x14ac:dyDescent="0.2">
      <c r="A15" s="47"/>
      <c r="B15" s="47"/>
      <c r="C15" s="47"/>
      <c r="D15" s="47"/>
      <c r="E15" s="47"/>
      <c r="F15" s="47"/>
      <c r="G15" s="47"/>
      <c r="H15" s="47"/>
      <c r="I15" s="47" t="s">
        <v>917</v>
      </c>
      <c r="J15" s="47"/>
      <c r="K15" s="54" t="str">
        <f t="shared" si="0"/>
        <v>MFD-Colour_Ko_L_2</v>
      </c>
      <c r="L15" s="40" t="str">
        <f>IF(VLOOKUP(K15,Data!A:H,8,FALSE)=0,"Not Offered",VLOOKUP(K15,Data!A:H,8,FALSE))</f>
        <v>bizhub C360i</v>
      </c>
      <c r="M15" s="39" t="s">
        <v>402</v>
      </c>
      <c r="N15" s="40" t="s">
        <v>10</v>
      </c>
      <c r="O15" s="40" t="s">
        <v>890</v>
      </c>
      <c r="P15" s="40">
        <v>2</v>
      </c>
      <c r="Q15" s="52"/>
    </row>
    <row r="16" spans="1:18" ht="18" customHeight="1" x14ac:dyDescent="0.2">
      <c r="A16" s="47"/>
      <c r="B16" s="47"/>
      <c r="C16" s="47"/>
      <c r="D16" s="47"/>
      <c r="E16" s="47"/>
      <c r="F16" s="47"/>
      <c r="G16" s="47"/>
      <c r="H16" s="47"/>
      <c r="I16" s="47"/>
      <c r="J16" s="47"/>
      <c r="K16" s="54" t="str">
        <f t="shared" si="0"/>
        <v>MFD-Colour_Ko_L_3</v>
      </c>
      <c r="L16" s="40" t="str">
        <f>IF(VLOOKUP(K16,Data!A:H,8,FALSE)=0,"Not Offered",VLOOKUP(K16,Data!A:H,8,FALSE))</f>
        <v>bizhub C3321i</v>
      </c>
      <c r="M16" s="39" t="s">
        <v>402</v>
      </c>
      <c r="N16" s="40" t="s">
        <v>10</v>
      </c>
      <c r="O16" s="40" t="s">
        <v>890</v>
      </c>
      <c r="P16" s="40">
        <v>3</v>
      </c>
      <c r="Q16" s="52"/>
    </row>
    <row r="17" spans="1:17" ht="18" customHeight="1" x14ac:dyDescent="0.2">
      <c r="A17" s="47"/>
      <c r="B17" s="47"/>
      <c r="C17" s="47"/>
      <c r="D17" s="47"/>
      <c r="E17" s="47"/>
      <c r="F17" s="47"/>
      <c r="G17" s="47"/>
      <c r="H17" s="47"/>
      <c r="I17" s="48" t="s">
        <v>402</v>
      </c>
      <c r="J17" s="48"/>
      <c r="K17" s="54" t="str">
        <f t="shared" si="0"/>
        <v>MFD-Colour_Ko_L_4</v>
      </c>
      <c r="L17" s="40" t="str">
        <f>IF(VLOOKUP(K17,Data!A:H,8,FALSE)=0,"Not Offered",VLOOKUP(K17,Data!A:H,8,FALSE))</f>
        <v>bizhub C3351i</v>
      </c>
      <c r="M17" s="39" t="s">
        <v>402</v>
      </c>
      <c r="N17" s="40" t="s">
        <v>10</v>
      </c>
      <c r="O17" s="40" t="s">
        <v>890</v>
      </c>
      <c r="P17" s="40">
        <v>4</v>
      </c>
      <c r="Q17" s="52"/>
    </row>
    <row r="18" spans="1:17" ht="18" customHeight="1" x14ac:dyDescent="0.2">
      <c r="A18" s="47"/>
      <c r="B18" s="47"/>
      <c r="C18" s="47"/>
      <c r="D18" s="47"/>
      <c r="E18" s="47" t="str">
        <f>ADDRESS(MATCH(R2,Locations,0),COLUMN(R1))</f>
        <v>$R$1</v>
      </c>
      <c r="F18" s="47"/>
      <c r="G18" s="47"/>
      <c r="H18" s="47"/>
      <c r="I18" s="48" t="s">
        <v>434</v>
      </c>
      <c r="J18" s="48"/>
      <c r="K18" s="54" t="str">
        <f t="shared" si="0"/>
        <v>MFD-Colour_Ky_L_1</v>
      </c>
      <c r="L18" s="40" t="str">
        <f>IF(VLOOKUP(K18,Data!A:H,8,FALSE)=0,"Not Offered",VLOOKUP(K18,Data!A:H,8,FALSE))</f>
        <v>ECOSYS MA3500cix</v>
      </c>
      <c r="M18" s="39" t="s">
        <v>402</v>
      </c>
      <c r="N18" s="40" t="s">
        <v>7</v>
      </c>
      <c r="O18" s="40" t="s">
        <v>890</v>
      </c>
      <c r="P18" s="40">
        <v>1</v>
      </c>
      <c r="Q18" s="52"/>
    </row>
    <row r="19" spans="1:17" ht="18" customHeight="1" x14ac:dyDescent="0.2">
      <c r="A19" s="47"/>
      <c r="B19" s="47"/>
      <c r="C19" s="47"/>
      <c r="D19" s="47"/>
      <c r="E19" s="47"/>
      <c r="F19" s="47"/>
      <c r="G19" s="47"/>
      <c r="H19" s="47"/>
      <c r="I19" s="48" t="s">
        <v>440</v>
      </c>
      <c r="J19" s="48"/>
      <c r="K19" s="54" t="str">
        <f t="shared" si="0"/>
        <v>MFD-Colour_Ky_L_2</v>
      </c>
      <c r="L19" s="51" t="str">
        <f>IF(VLOOKUP(K19,Data!A:H,8,FALSE)=0,"Not Offered",VLOOKUP(K19,Data!A:H,8,FALSE))</f>
        <v>TASKalfa 358ci</v>
      </c>
      <c r="M19" s="39" t="s">
        <v>402</v>
      </c>
      <c r="N19" s="40" t="s">
        <v>7</v>
      </c>
      <c r="O19" s="40" t="s">
        <v>890</v>
      </c>
      <c r="P19" s="40">
        <v>2</v>
      </c>
      <c r="Q19" s="52"/>
    </row>
    <row r="20" spans="1:17" ht="18" customHeight="1" x14ac:dyDescent="0.2">
      <c r="A20" s="47"/>
      <c r="B20" s="47"/>
      <c r="C20" s="47"/>
      <c r="D20" s="47"/>
      <c r="E20" s="47"/>
      <c r="F20" s="47"/>
      <c r="G20" s="47"/>
      <c r="H20" s="47"/>
      <c r="I20" s="48" t="s">
        <v>436</v>
      </c>
      <c r="J20" s="48"/>
      <c r="K20" s="54" t="str">
        <f t="shared" si="0"/>
        <v>MFD-Colour_Ky_L_3</v>
      </c>
      <c r="L20" s="40" t="str">
        <f>IF(VLOOKUP(K20,Data!A:H,8,FALSE)=0,"Not Offered",VLOOKUP(K20,Data!A:H,8,FALSE))</f>
        <v>ECOSYS M8130cidn</v>
      </c>
      <c r="M20" s="39" t="s">
        <v>402</v>
      </c>
      <c r="N20" s="40" t="s">
        <v>7</v>
      </c>
      <c r="O20" s="40" t="s">
        <v>890</v>
      </c>
      <c r="P20" s="40">
        <v>3</v>
      </c>
      <c r="Q20" s="52"/>
    </row>
    <row r="21" spans="1:17" ht="18" customHeight="1" x14ac:dyDescent="0.2">
      <c r="A21" s="47"/>
      <c r="B21" s="47"/>
      <c r="C21" s="47"/>
      <c r="D21" s="47"/>
      <c r="E21" s="47"/>
      <c r="F21" s="47"/>
      <c r="G21" s="47"/>
      <c r="H21" s="47"/>
      <c r="I21" s="47"/>
      <c r="J21" s="47"/>
      <c r="K21" s="54" t="str">
        <f t="shared" si="0"/>
        <v>MFD-Colour_Ky_L_4</v>
      </c>
      <c r="L21" s="40" t="str">
        <f>IF(VLOOKUP(K21,Data!A:H,8,FALSE)=0,"Not Offered",VLOOKUP(K21,Data!A:H,8,FALSE))</f>
        <v>TASKalfa 3554ci</v>
      </c>
      <c r="M21" s="39" t="s">
        <v>402</v>
      </c>
      <c r="N21" s="40" t="s">
        <v>7</v>
      </c>
      <c r="O21" s="40" t="s">
        <v>890</v>
      </c>
      <c r="P21" s="40">
        <v>4</v>
      </c>
      <c r="Q21" s="52"/>
    </row>
    <row r="22" spans="1:17" ht="18" customHeight="1" x14ac:dyDescent="0.2">
      <c r="A22" s="47"/>
      <c r="B22" s="47"/>
      <c r="C22" s="47"/>
      <c r="D22" s="47"/>
      <c r="E22" s="47"/>
      <c r="F22" s="47"/>
      <c r="G22" s="47"/>
      <c r="H22" s="47"/>
      <c r="I22" s="47"/>
      <c r="J22" s="47"/>
      <c r="K22" s="54" t="str">
        <f t="shared" si="0"/>
        <v>MFD-Colour_Ri_L_1</v>
      </c>
      <c r="L22" s="40" t="str">
        <f>IF(VLOOKUP(K22,Data!A:H,8,FALSE)=0,"Not Offered",VLOOKUP(K22,Data!A:H,8,FALSE))</f>
        <v>IM C3010</v>
      </c>
      <c r="M22" s="39" t="s">
        <v>402</v>
      </c>
      <c r="N22" s="40" t="s">
        <v>8</v>
      </c>
      <c r="O22" s="40" t="s">
        <v>890</v>
      </c>
      <c r="P22" s="40">
        <v>1</v>
      </c>
      <c r="Q22" s="52"/>
    </row>
    <row r="23" spans="1:17" ht="18" customHeight="1" x14ac:dyDescent="0.2">
      <c r="A23" s="47"/>
      <c r="B23" s="47"/>
      <c r="C23" s="47"/>
      <c r="D23" s="47"/>
      <c r="E23" s="47"/>
      <c r="F23" s="47"/>
      <c r="G23" s="47"/>
      <c r="H23" s="47"/>
      <c r="I23" s="47"/>
      <c r="J23" s="47"/>
      <c r="K23" s="54" t="str">
        <f t="shared" si="0"/>
        <v>MFD-Colour_Ri_L_2</v>
      </c>
      <c r="L23" s="40" t="str">
        <f>IF(VLOOKUP(K23,Data!A:H,8,FALSE)=0,"Not Offered",VLOOKUP(K23,Data!A:H,8,FALSE))</f>
        <v>IM C3510</v>
      </c>
      <c r="M23" s="39" t="s">
        <v>402</v>
      </c>
      <c r="N23" s="40" t="s">
        <v>8</v>
      </c>
      <c r="O23" s="40" t="s">
        <v>890</v>
      </c>
      <c r="P23" s="40">
        <v>2</v>
      </c>
      <c r="Q23" s="52"/>
    </row>
    <row r="24" spans="1:17" ht="18" customHeight="1" x14ac:dyDescent="0.2">
      <c r="A24" s="47"/>
      <c r="B24" s="47"/>
      <c r="C24" s="47"/>
      <c r="D24" s="47"/>
      <c r="E24" s="47"/>
      <c r="F24" s="47"/>
      <c r="G24" s="47"/>
      <c r="H24" s="47"/>
      <c r="I24" s="47"/>
      <c r="J24" s="47"/>
      <c r="K24" s="54" t="str">
        <f t="shared" si="0"/>
        <v>MFD-Colour_Ri_L_3</v>
      </c>
      <c r="L24" s="40" t="str">
        <f>IF(VLOOKUP(K24,Data!A:H,8,FALSE)=0,"Not Offered",VLOOKUP(K24,Data!A:H,8,FALSE))</f>
        <v>IM C300F</v>
      </c>
      <c r="M24" s="39" t="s">
        <v>402</v>
      </c>
      <c r="N24" s="40" t="s">
        <v>8</v>
      </c>
      <c r="O24" s="40" t="s">
        <v>890</v>
      </c>
      <c r="P24" s="40">
        <v>3</v>
      </c>
      <c r="Q24" s="52"/>
    </row>
    <row r="25" spans="1:17" ht="18" customHeight="1" x14ac:dyDescent="0.2">
      <c r="A25" s="47"/>
      <c r="B25" s="47"/>
      <c r="C25" s="47"/>
      <c r="D25" s="47"/>
      <c r="E25" s="47"/>
      <c r="F25" s="47"/>
      <c r="G25" s="47"/>
      <c r="H25" s="47"/>
      <c r="I25" s="47"/>
      <c r="J25" s="47"/>
      <c r="K25" s="54" t="str">
        <f t="shared" si="0"/>
        <v>MFD-Colour_Ri_L_4</v>
      </c>
      <c r="L25" s="41" t="str">
        <f>IF(VLOOKUP(K25,Data!A:H,8,FALSE)=0,"Not Offered",VLOOKUP(K25,Data!A:H,8,FALSE))</f>
        <v>Not Offered</v>
      </c>
      <c r="M25" s="44" t="s">
        <v>402</v>
      </c>
      <c r="N25" s="41" t="s">
        <v>8</v>
      </c>
      <c r="O25" s="41" t="s">
        <v>890</v>
      </c>
      <c r="P25" s="41">
        <v>4</v>
      </c>
      <c r="Q25" s="57"/>
    </row>
    <row r="26" spans="1:17" ht="18" customHeight="1" x14ac:dyDescent="0.2">
      <c r="A26" s="47"/>
      <c r="B26" s="47"/>
      <c r="C26" s="47"/>
      <c r="D26" s="47"/>
      <c r="E26" s="47"/>
      <c r="F26" s="47"/>
      <c r="G26" s="47"/>
      <c r="H26" s="47"/>
      <c r="I26" s="47"/>
      <c r="J26" s="47"/>
      <c r="K26" s="54" t="str">
        <f t="shared" si="0"/>
        <v>MFD-Colour_FX_M_1</v>
      </c>
      <c r="L26" s="40" t="e">
        <f>IF(VLOOKUP(K26,Data!A:H,8,FALSE)=0,"Not Offered",VLOOKUP(K26,Data!A:H,8,FALSE))</f>
        <v>#N/A</v>
      </c>
      <c r="M26" s="39" t="s">
        <v>402</v>
      </c>
      <c r="N26" s="40" t="s">
        <v>2014</v>
      </c>
      <c r="O26" s="40" t="s">
        <v>891</v>
      </c>
      <c r="P26" s="40">
        <v>1</v>
      </c>
      <c r="Q26" s="52"/>
    </row>
    <row r="27" spans="1:17" ht="18" customHeight="1" x14ac:dyDescent="0.2">
      <c r="A27" s="47"/>
      <c r="B27" s="47"/>
      <c r="C27" s="47"/>
      <c r="D27" s="47"/>
      <c r="E27" s="47"/>
      <c r="F27" s="47"/>
      <c r="G27" s="47"/>
      <c r="H27" s="47"/>
      <c r="I27" s="47"/>
      <c r="J27" s="47"/>
      <c r="K27" s="54" t="str">
        <f t="shared" si="0"/>
        <v>MFD-Colour_FX_M_2</v>
      </c>
      <c r="L27" s="40" t="e">
        <f>IF(VLOOKUP(K27,Data!A:H,8,FALSE)=0,"Not Offered",VLOOKUP(K27,Data!A:H,8,FALSE))</f>
        <v>#N/A</v>
      </c>
      <c r="M27" s="39" t="s">
        <v>402</v>
      </c>
      <c r="N27" s="40" t="s">
        <v>2014</v>
      </c>
      <c r="O27" s="40" t="s">
        <v>891</v>
      </c>
      <c r="P27" s="40">
        <v>2</v>
      </c>
      <c r="Q27" s="52"/>
    </row>
    <row r="28" spans="1:17" ht="18" customHeight="1" x14ac:dyDescent="0.2">
      <c r="A28" s="47"/>
      <c r="B28" s="47"/>
      <c r="C28" s="47"/>
      <c r="D28" s="47"/>
      <c r="E28" s="47"/>
      <c r="F28" s="47"/>
      <c r="G28" s="47"/>
      <c r="H28" s="47"/>
      <c r="I28" s="47"/>
      <c r="J28" s="47"/>
      <c r="K28" s="54" t="str">
        <f t="shared" si="0"/>
        <v>MFD-Colour_FX_M_3</v>
      </c>
      <c r="L28" s="40" t="e">
        <f>IF(VLOOKUP(K28,Data!A:H,8,FALSE)=0,"Not Offered",VLOOKUP(K28,Data!A:H,8,FALSE))</f>
        <v>#N/A</v>
      </c>
      <c r="M28" s="39" t="s">
        <v>402</v>
      </c>
      <c r="N28" s="40" t="s">
        <v>2014</v>
      </c>
      <c r="O28" s="40" t="s">
        <v>891</v>
      </c>
      <c r="P28" s="40">
        <v>3</v>
      </c>
      <c r="Q28" s="52"/>
    </row>
    <row r="29" spans="1:17" ht="18" customHeight="1" x14ac:dyDescent="0.2">
      <c r="A29" s="47"/>
      <c r="B29" s="47"/>
      <c r="C29" s="47"/>
      <c r="D29" s="47"/>
      <c r="E29" s="47"/>
      <c r="F29" s="47"/>
      <c r="G29" s="47"/>
      <c r="H29" s="47"/>
      <c r="I29" s="47"/>
      <c r="J29" s="47"/>
      <c r="K29" s="54" t="str">
        <f t="shared" si="0"/>
        <v>MFD-Colour_FX_M_4</v>
      </c>
      <c r="L29" s="40" t="e">
        <f>IF(VLOOKUP(K29,Data!A:H,8,FALSE)=0,"Not Offered",VLOOKUP(K29,Data!A:H,8,FALSE))</f>
        <v>#N/A</v>
      </c>
      <c r="M29" s="39" t="s">
        <v>402</v>
      </c>
      <c r="N29" s="40" t="s">
        <v>2014</v>
      </c>
      <c r="O29" s="40" t="s">
        <v>891</v>
      </c>
      <c r="P29" s="40">
        <v>4</v>
      </c>
      <c r="Q29" s="52"/>
    </row>
    <row r="30" spans="1:17" ht="18" customHeight="1" x14ac:dyDescent="0.2">
      <c r="A30" s="47"/>
      <c r="B30" s="47"/>
      <c r="C30" s="47"/>
      <c r="D30" s="47"/>
      <c r="E30" s="47"/>
      <c r="F30" s="47"/>
      <c r="G30" s="47"/>
      <c r="H30" s="47"/>
      <c r="I30" s="47"/>
      <c r="J30" s="47"/>
      <c r="K30" s="54" t="str">
        <f t="shared" si="0"/>
        <v>MFD-Colour_Ko_M_1</v>
      </c>
      <c r="L30" s="40" t="str">
        <f>IF(VLOOKUP(K30,Data!A:H,8,FALSE)=0,"Not Offered",VLOOKUP(K30,Data!A:H,8,FALSE))</f>
        <v>bizhub C450i</v>
      </c>
      <c r="M30" s="39" t="s">
        <v>402</v>
      </c>
      <c r="N30" s="40" t="s">
        <v>10</v>
      </c>
      <c r="O30" s="40" t="s">
        <v>891</v>
      </c>
      <c r="P30" s="40">
        <v>1</v>
      </c>
      <c r="Q30" s="52"/>
    </row>
    <row r="31" spans="1:17" ht="18" customHeight="1" x14ac:dyDescent="0.2">
      <c r="A31" s="47"/>
      <c r="B31" s="47"/>
      <c r="C31" s="47"/>
      <c r="D31" s="47"/>
      <c r="E31" s="47"/>
      <c r="F31" s="47"/>
      <c r="G31" s="47"/>
      <c r="H31" s="47"/>
      <c r="I31" s="47"/>
      <c r="J31" s="47"/>
      <c r="K31" s="54" t="str">
        <f t="shared" si="0"/>
        <v>MFD-Colour_Ko_M_2</v>
      </c>
      <c r="L31" s="40" t="str">
        <f>IF(VLOOKUP(K31,Data!A:H,8,FALSE)=0,"Not Offered",VLOOKUP(K31,Data!A:H,8,FALSE))</f>
        <v>bizhub C550i</v>
      </c>
      <c r="M31" s="39" t="s">
        <v>402</v>
      </c>
      <c r="N31" s="40" t="s">
        <v>10</v>
      </c>
      <c r="O31" s="40" t="s">
        <v>891</v>
      </c>
      <c r="P31" s="40">
        <v>2</v>
      </c>
      <c r="Q31" s="52"/>
    </row>
    <row r="32" spans="1:17" ht="18" customHeight="1" x14ac:dyDescent="0.2">
      <c r="A32" s="47"/>
      <c r="B32" s="47"/>
      <c r="C32" s="47"/>
      <c r="D32" s="47"/>
      <c r="E32" s="47"/>
      <c r="F32" s="47"/>
      <c r="G32" s="47"/>
      <c r="H32" s="47"/>
      <c r="I32" s="47"/>
      <c r="J32" s="47"/>
      <c r="K32" s="54" t="str">
        <f t="shared" si="0"/>
        <v>MFD-Colour_Ko_M_3</v>
      </c>
      <c r="L32" s="41" t="str">
        <f>IF(VLOOKUP(K32,Data!A:H,8,FALSE)=0,"Not Offered",VLOOKUP(K32,Data!A:H,8,FALSE))</f>
        <v>bizhub C4051i</v>
      </c>
      <c r="M32" s="44" t="s">
        <v>402</v>
      </c>
      <c r="N32" s="41" t="s">
        <v>10</v>
      </c>
      <c r="O32" s="41" t="s">
        <v>891</v>
      </c>
      <c r="P32" s="41">
        <v>3</v>
      </c>
      <c r="Q32" s="57"/>
    </row>
    <row r="33" spans="1:17" ht="18" customHeight="1" x14ac:dyDescent="0.2">
      <c r="A33" s="47"/>
      <c r="B33" s="47"/>
      <c r="C33" s="47"/>
      <c r="D33" s="47"/>
      <c r="E33" s="47"/>
      <c r="F33" s="47"/>
      <c r="G33" s="47"/>
      <c r="H33" s="47"/>
      <c r="I33" s="47"/>
      <c r="J33" s="47"/>
      <c r="K33" s="54" t="str">
        <f t="shared" si="0"/>
        <v>MFD-Colour_Ko_M_4</v>
      </c>
      <c r="L33" s="41" t="str">
        <f>IF(VLOOKUP(K33,Data!A:H,8,FALSE)=0,"Not Offered",VLOOKUP(K33,Data!A:H,8,FALSE))</f>
        <v>Not Offered</v>
      </c>
      <c r="M33" s="44" t="s">
        <v>402</v>
      </c>
      <c r="N33" s="41" t="s">
        <v>10</v>
      </c>
      <c r="O33" s="41" t="s">
        <v>891</v>
      </c>
      <c r="P33" s="41">
        <v>4</v>
      </c>
      <c r="Q33" s="57"/>
    </row>
    <row r="34" spans="1:17" ht="18" customHeight="1" x14ac:dyDescent="0.2">
      <c r="A34" s="47"/>
      <c r="B34" s="47"/>
      <c r="C34" s="47"/>
      <c r="D34" s="47"/>
      <c r="E34" s="47"/>
      <c r="F34" s="47"/>
      <c r="G34" s="47"/>
      <c r="H34" s="47"/>
      <c r="I34" s="47"/>
      <c r="J34" s="47"/>
      <c r="K34" s="54" t="str">
        <f t="shared" ref="K34:K65" si="1">M34&amp;"_"&amp;IF(N34="Fuji Business Innovation","FX",LEFT(N34,2))&amp;"_"&amp;LEFT(O34,1)&amp;"_"&amp;P34</f>
        <v>MFD-Colour_Ky_M_1</v>
      </c>
      <c r="L34" s="40" t="str">
        <f>IF(VLOOKUP(K34,Data!A:H,8,FALSE)=0,"Not Offered",VLOOKUP(K34,Data!A:H,8,FALSE))</f>
        <v>TASKalfa 408ci</v>
      </c>
      <c r="M34" s="39" t="s">
        <v>402</v>
      </c>
      <c r="N34" s="40" t="s">
        <v>7</v>
      </c>
      <c r="O34" s="40" t="s">
        <v>891</v>
      </c>
      <c r="P34" s="40">
        <v>1</v>
      </c>
      <c r="Q34" s="52"/>
    </row>
    <row r="35" spans="1:17" ht="18" customHeight="1" x14ac:dyDescent="0.2">
      <c r="A35" s="47"/>
      <c r="B35" s="47"/>
      <c r="C35" s="47"/>
      <c r="D35" s="47"/>
      <c r="E35" s="47"/>
      <c r="F35" s="47"/>
      <c r="G35" s="47"/>
      <c r="H35" s="47"/>
      <c r="I35" s="47"/>
      <c r="J35" s="47"/>
      <c r="K35" s="54" t="str">
        <f t="shared" si="1"/>
        <v>MFD-Colour_Ky_M_2</v>
      </c>
      <c r="L35" s="40" t="str">
        <f>IF(VLOOKUP(K35,Data!A:H,8,FALSE)=0,"Not Offered",VLOOKUP(K35,Data!A:H,8,FALSE))</f>
        <v>TASKalfa 4054ci</v>
      </c>
      <c r="M35" s="39" t="s">
        <v>402</v>
      </c>
      <c r="N35" s="40" t="s">
        <v>7</v>
      </c>
      <c r="O35" s="40" t="s">
        <v>891</v>
      </c>
      <c r="P35" s="40">
        <v>2</v>
      </c>
      <c r="Q35" s="52"/>
    </row>
    <row r="36" spans="1:17" ht="18" customHeight="1" x14ac:dyDescent="0.2">
      <c r="A36" s="47"/>
      <c r="B36" s="47"/>
      <c r="C36" s="47"/>
      <c r="D36" s="47"/>
      <c r="E36" s="47"/>
      <c r="F36" s="47"/>
      <c r="G36" s="47"/>
      <c r="H36" s="47"/>
      <c r="I36" s="47"/>
      <c r="J36" s="47"/>
      <c r="K36" s="54" t="str">
        <f t="shared" si="1"/>
        <v>MFD-Colour_Ky_M_3</v>
      </c>
      <c r="L36" s="40" t="str">
        <f>IF(VLOOKUP(K36,Data!A:H,8,FALSE)=0,"Not Offered",VLOOKUP(K36,Data!A:H,8,FALSE))</f>
        <v>TASKalfa 5054ci</v>
      </c>
      <c r="M36" s="39" t="s">
        <v>402</v>
      </c>
      <c r="N36" s="40" t="s">
        <v>7</v>
      </c>
      <c r="O36" s="40" t="s">
        <v>891</v>
      </c>
      <c r="P36" s="40">
        <v>3</v>
      </c>
      <c r="Q36" s="52"/>
    </row>
    <row r="37" spans="1:17" ht="18" customHeight="1" x14ac:dyDescent="0.2">
      <c r="A37" s="47"/>
      <c r="B37" s="47"/>
      <c r="C37" s="47"/>
      <c r="D37" s="47"/>
      <c r="E37" s="47"/>
      <c r="F37" s="47"/>
      <c r="G37" s="47"/>
      <c r="H37" s="47"/>
      <c r="I37" s="47"/>
      <c r="J37" s="47"/>
      <c r="K37" s="54" t="str">
        <f t="shared" si="1"/>
        <v>MFD-Colour_Ri_M_4</v>
      </c>
      <c r="L37" s="41" t="str">
        <f>IF(VLOOKUP(K37,Data!A:H,8,FALSE)=0,"Not Offered",VLOOKUP(K37,Data!A:H,8,FALSE))</f>
        <v>Not Offered</v>
      </c>
      <c r="M37" s="44" t="s">
        <v>402</v>
      </c>
      <c r="N37" s="41" t="s">
        <v>8</v>
      </c>
      <c r="O37" s="41" t="s">
        <v>891</v>
      </c>
      <c r="P37" s="41">
        <v>4</v>
      </c>
      <c r="Q37" s="52"/>
    </row>
    <row r="38" spans="1:17" ht="18" customHeight="1" x14ac:dyDescent="0.2">
      <c r="A38" s="47"/>
      <c r="B38" s="47"/>
      <c r="C38" s="47"/>
      <c r="D38" s="47"/>
      <c r="E38" s="47"/>
      <c r="F38" s="47"/>
      <c r="G38" s="47"/>
      <c r="H38" s="47"/>
      <c r="I38" s="47"/>
      <c r="J38" s="47"/>
      <c r="K38" s="54" t="str">
        <f t="shared" si="1"/>
        <v>MFD-Colour_Ri_M_1</v>
      </c>
      <c r="L38" s="40" t="str">
        <f>IF(VLOOKUP(K38,Data!A:H,8,FALSE)=0,"Not Offered",VLOOKUP(K38,Data!A:H,8,FALSE))</f>
        <v>IM C4510</v>
      </c>
      <c r="M38" s="39" t="s">
        <v>402</v>
      </c>
      <c r="N38" s="40" t="s">
        <v>8</v>
      </c>
      <c r="O38" s="40" t="s">
        <v>891</v>
      </c>
      <c r="P38" s="40">
        <v>1</v>
      </c>
      <c r="Q38" s="52"/>
    </row>
    <row r="39" spans="1:17" ht="18" customHeight="1" x14ac:dyDescent="0.2">
      <c r="A39" s="47"/>
      <c r="B39" s="47"/>
      <c r="C39" s="47"/>
      <c r="D39" s="47"/>
      <c r="E39" s="47"/>
      <c r="F39" s="47"/>
      <c r="G39" s="47"/>
      <c r="H39" s="47"/>
      <c r="I39" s="47"/>
      <c r="J39" s="47"/>
      <c r="K39" s="54" t="str">
        <f t="shared" si="1"/>
        <v>MFD-Colour_Ri_M_2</v>
      </c>
      <c r="L39" s="41" t="str">
        <f>IF(VLOOKUP(K39,Data!A:H,8,FALSE)=0,"Not Offered",VLOOKUP(K39,Data!A:H,8,FALSE))</f>
        <v>IM C400F</v>
      </c>
      <c r="M39" s="44" t="s">
        <v>402</v>
      </c>
      <c r="N39" s="41" t="s">
        <v>8</v>
      </c>
      <c r="O39" s="41" t="s">
        <v>891</v>
      </c>
      <c r="P39" s="41">
        <v>2</v>
      </c>
      <c r="Q39" s="57"/>
    </row>
    <row r="40" spans="1:17" ht="18" customHeight="1" x14ac:dyDescent="0.2">
      <c r="A40" s="47"/>
      <c r="B40" s="47"/>
      <c r="C40" s="47"/>
      <c r="D40" s="47"/>
      <c r="E40" s="47"/>
      <c r="F40" s="47"/>
      <c r="G40" s="47"/>
      <c r="H40" s="47"/>
      <c r="I40" s="47"/>
      <c r="J40" s="47"/>
      <c r="K40" s="54" t="str">
        <f t="shared" si="1"/>
        <v>MFD-Colour_Ri_M_3</v>
      </c>
      <c r="L40" s="41" t="str">
        <f>IF(VLOOKUP(K40,Data!A:H,8,FALSE)=0,"Not Offered",VLOOKUP(K40,Data!A:H,8,FALSE))</f>
        <v>Not Offered</v>
      </c>
      <c r="M40" s="44" t="s">
        <v>402</v>
      </c>
      <c r="N40" s="41" t="s">
        <v>8</v>
      </c>
      <c r="O40" s="41" t="s">
        <v>891</v>
      </c>
      <c r="P40" s="41">
        <v>3</v>
      </c>
      <c r="Q40" s="57"/>
    </row>
    <row r="41" spans="1:17" ht="18" customHeight="1" x14ac:dyDescent="0.2">
      <c r="A41" s="47"/>
      <c r="B41" s="47"/>
      <c r="C41" s="47"/>
      <c r="D41" s="47"/>
      <c r="E41" s="47"/>
      <c r="F41" s="47"/>
      <c r="G41" s="47"/>
      <c r="H41" s="47"/>
      <c r="I41" s="47"/>
      <c r="J41" s="47"/>
      <c r="K41" s="54" t="str">
        <f t="shared" si="1"/>
        <v>MFD-Colour_Ri_M_4</v>
      </c>
      <c r="L41" s="41" t="str">
        <f>IF(VLOOKUP(K41,Data!A:H,8,FALSE)=0,"Not Offered",VLOOKUP(K41,Data!A:H,8,FALSE))</f>
        <v>Not Offered</v>
      </c>
      <c r="M41" s="44" t="s">
        <v>402</v>
      </c>
      <c r="N41" s="41" t="s">
        <v>8</v>
      </c>
      <c r="O41" s="41" t="s">
        <v>891</v>
      </c>
      <c r="P41" s="41">
        <v>4</v>
      </c>
      <c r="Q41" s="57"/>
    </row>
    <row r="42" spans="1:17" ht="18" customHeight="1" x14ac:dyDescent="0.2">
      <c r="A42" s="47"/>
      <c r="B42" s="47"/>
      <c r="C42" s="47"/>
      <c r="D42" s="47"/>
      <c r="E42" s="47"/>
      <c r="F42" s="47"/>
      <c r="G42" s="47"/>
      <c r="H42" s="47"/>
      <c r="I42" s="47"/>
      <c r="J42" s="47"/>
      <c r="K42" s="54" t="str">
        <f t="shared" si="1"/>
        <v>MFD-Colour_FX_H_1</v>
      </c>
      <c r="L42" s="40" t="e">
        <f>IF(VLOOKUP(K42,Data!A:H,8,FALSE)=0,"Not Offered",VLOOKUP(K42,Data!A:H,8,FALSE))</f>
        <v>#N/A</v>
      </c>
      <c r="M42" s="39" t="s">
        <v>402</v>
      </c>
      <c r="N42" s="40" t="s">
        <v>2014</v>
      </c>
      <c r="O42" s="40" t="s">
        <v>892</v>
      </c>
      <c r="P42" s="40">
        <v>1</v>
      </c>
      <c r="Q42" s="52"/>
    </row>
    <row r="43" spans="1:17" ht="18" customHeight="1" x14ac:dyDescent="0.2">
      <c r="A43" s="47"/>
      <c r="B43" s="47"/>
      <c r="C43" s="47"/>
      <c r="D43" s="47"/>
      <c r="E43" s="47"/>
      <c r="F43" s="47"/>
      <c r="G43" s="47"/>
      <c r="H43" s="47"/>
      <c r="I43" s="47"/>
      <c r="J43" s="47"/>
      <c r="K43" s="54" t="str">
        <f t="shared" si="1"/>
        <v>MFD-Colour_FX_H_2</v>
      </c>
      <c r="L43" s="40" t="e">
        <f>IF(VLOOKUP(K43,Data!A:H,8,FALSE)=0,"Not Offered",VLOOKUP(K43,Data!A:H,8,FALSE))</f>
        <v>#N/A</v>
      </c>
      <c r="M43" s="39" t="s">
        <v>402</v>
      </c>
      <c r="N43" s="40" t="s">
        <v>2014</v>
      </c>
      <c r="O43" s="40" t="s">
        <v>892</v>
      </c>
      <c r="P43" s="40">
        <v>2</v>
      </c>
      <c r="Q43" s="52"/>
    </row>
    <row r="44" spans="1:17" ht="18" customHeight="1" x14ac:dyDescent="0.2">
      <c r="A44" s="47"/>
      <c r="B44" s="47"/>
      <c r="C44" s="47"/>
      <c r="D44" s="47"/>
      <c r="E44" s="47"/>
      <c r="F44" s="47"/>
      <c r="G44" s="47"/>
      <c r="H44" s="47"/>
      <c r="I44" s="47"/>
      <c r="J44" s="47"/>
      <c r="K44" s="54" t="str">
        <f t="shared" si="1"/>
        <v>MFD-Colour_FX_H_3</v>
      </c>
      <c r="L44" s="40" t="e">
        <f>IF(VLOOKUP(K44,Data!A:H,8,FALSE)=0,"Not Offered",VLOOKUP(K44,Data!A:H,8,FALSE))</f>
        <v>#N/A</v>
      </c>
      <c r="M44" s="39" t="s">
        <v>402</v>
      </c>
      <c r="N44" s="40" t="s">
        <v>2014</v>
      </c>
      <c r="O44" s="40" t="s">
        <v>892</v>
      </c>
      <c r="P44" s="40">
        <v>3</v>
      </c>
      <c r="Q44" s="52"/>
    </row>
    <row r="45" spans="1:17" ht="18" customHeight="1" x14ac:dyDescent="0.2">
      <c r="A45" s="47"/>
      <c r="B45" s="47"/>
      <c r="C45" s="47"/>
      <c r="D45" s="47"/>
      <c r="E45" s="47"/>
      <c r="F45" s="47"/>
      <c r="G45" s="47"/>
      <c r="H45" s="47"/>
      <c r="I45" s="47"/>
      <c r="J45" s="47"/>
      <c r="K45" s="54" t="str">
        <f t="shared" si="1"/>
        <v>MFD-Colour_FX_H_4</v>
      </c>
      <c r="L45" s="40" t="e">
        <f>IF(VLOOKUP(K45,Data!A:H,8,FALSE)=0,"Not Offered",VLOOKUP(K45,Data!A:H,8,FALSE))</f>
        <v>#N/A</v>
      </c>
      <c r="M45" s="39" t="s">
        <v>402</v>
      </c>
      <c r="N45" s="40" t="s">
        <v>2014</v>
      </c>
      <c r="O45" s="40" t="s">
        <v>892</v>
      </c>
      <c r="P45" s="40">
        <v>4</v>
      </c>
      <c r="Q45" s="52"/>
    </row>
    <row r="46" spans="1:17" ht="18" customHeight="1" x14ac:dyDescent="0.2">
      <c r="A46" s="47"/>
      <c r="B46" s="47"/>
      <c r="C46" s="47"/>
      <c r="D46" s="47"/>
      <c r="E46" s="47"/>
      <c r="F46" s="47"/>
      <c r="G46" s="47"/>
      <c r="H46" s="47"/>
      <c r="I46" s="47"/>
      <c r="J46" s="47"/>
      <c r="K46" s="54" t="str">
        <f t="shared" si="1"/>
        <v>MFD-Colour_Ko_H_1</v>
      </c>
      <c r="L46" s="40" t="str">
        <f>IF(VLOOKUP(K46,Data!A:H,8,FALSE)=0,"Not Offered",VLOOKUP(K46,Data!A:H,8,FALSE))</f>
        <v>bizhub C650i</v>
      </c>
      <c r="M46" s="39" t="s">
        <v>402</v>
      </c>
      <c r="N46" s="40" t="s">
        <v>10</v>
      </c>
      <c r="O46" s="40" t="s">
        <v>892</v>
      </c>
      <c r="P46" s="40">
        <v>1</v>
      </c>
      <c r="Q46" s="52"/>
    </row>
    <row r="47" spans="1:17" ht="18" customHeight="1" x14ac:dyDescent="0.2">
      <c r="A47" s="47"/>
      <c r="B47" s="47"/>
      <c r="C47" s="47"/>
      <c r="D47" s="47"/>
      <c r="E47" s="47"/>
      <c r="F47" s="47"/>
      <c r="G47" s="47"/>
      <c r="H47" s="47"/>
      <c r="I47" s="47"/>
      <c r="J47" s="47"/>
      <c r="K47" s="54" t="str">
        <f t="shared" si="1"/>
        <v>MFD-Colour_Ko_H_2</v>
      </c>
      <c r="L47" s="40" t="str">
        <f>IF(VLOOKUP(K47,Data!A:H,8,FALSE)=0,"Not Offered",VLOOKUP(K47,Data!A:H,8,FALSE))</f>
        <v>Not Offered</v>
      </c>
      <c r="M47" s="39" t="s">
        <v>402</v>
      </c>
      <c r="N47" s="40" t="s">
        <v>10</v>
      </c>
      <c r="O47" s="40" t="s">
        <v>892</v>
      </c>
      <c r="P47" s="40">
        <v>2</v>
      </c>
      <c r="Q47" s="52"/>
    </row>
    <row r="48" spans="1:17" ht="18" customHeight="1" x14ac:dyDescent="0.2">
      <c r="A48" s="47"/>
      <c r="B48" s="47"/>
      <c r="C48" s="47"/>
      <c r="D48" s="47"/>
      <c r="E48" s="47"/>
      <c r="F48" s="47"/>
      <c r="G48" s="47"/>
      <c r="H48" s="47"/>
      <c r="I48" s="47"/>
      <c r="J48" s="47"/>
      <c r="K48" s="54" t="str">
        <f t="shared" si="1"/>
        <v>MFD-Colour_Ko_H_3</v>
      </c>
      <c r="L48" s="40" t="str">
        <f>IF(VLOOKUP(K48,Data!A:H,8,FALSE)=0,"Not Offered",VLOOKUP(K48,Data!A:H,8,FALSE))</f>
        <v>bizhub C750i</v>
      </c>
      <c r="M48" s="39" t="s">
        <v>402</v>
      </c>
      <c r="N48" s="40" t="s">
        <v>10</v>
      </c>
      <c r="O48" s="40" t="s">
        <v>892</v>
      </c>
      <c r="P48" s="40">
        <v>3</v>
      </c>
      <c r="Q48" s="52"/>
    </row>
    <row r="49" spans="1:17" ht="18" customHeight="1" x14ac:dyDescent="0.2">
      <c r="A49" s="47"/>
      <c r="B49" s="47"/>
      <c r="C49" s="47"/>
      <c r="D49" s="47"/>
      <c r="E49" s="47"/>
      <c r="F49" s="47"/>
      <c r="G49" s="47"/>
      <c r="H49" s="47"/>
      <c r="I49" s="47"/>
      <c r="J49" s="47"/>
      <c r="K49" s="54" t="str">
        <f t="shared" si="1"/>
        <v>MFD-Colour_Ko_H_4</v>
      </c>
      <c r="L49" s="41" t="str">
        <f>IF(VLOOKUP(K49,Data!A:H,8,FALSE)=0,"Not Offered",VLOOKUP(K49,Data!A:H,8,FALSE))</f>
        <v>Not Offered</v>
      </c>
      <c r="M49" s="44" t="s">
        <v>402</v>
      </c>
      <c r="N49" s="41" t="s">
        <v>10</v>
      </c>
      <c r="O49" s="41" t="s">
        <v>892</v>
      </c>
      <c r="P49" s="41">
        <v>4</v>
      </c>
      <c r="Q49" s="57"/>
    </row>
    <row r="50" spans="1:17" ht="18" customHeight="1" x14ac:dyDescent="0.2">
      <c r="A50" s="47"/>
      <c r="B50" s="47"/>
      <c r="C50" s="47"/>
      <c r="D50" s="47"/>
      <c r="E50" s="47"/>
      <c r="F50" s="47"/>
      <c r="G50" s="47"/>
      <c r="H50" s="47"/>
      <c r="I50" s="47"/>
      <c r="J50" s="47"/>
      <c r="K50" s="54" t="str">
        <f t="shared" si="1"/>
        <v>MFD-Colour_Ky_H_1</v>
      </c>
      <c r="L50" s="40" t="str">
        <f>IF(VLOOKUP(K50,Data!A:H,8,FALSE)=0,"Not Offered",VLOOKUP(K50,Data!A:H,8,FALSE))</f>
        <v>TASkalfa 6054ci</v>
      </c>
      <c r="M50" s="39" t="s">
        <v>402</v>
      </c>
      <c r="N50" s="40" t="s">
        <v>7</v>
      </c>
      <c r="O50" s="40" t="s">
        <v>892</v>
      </c>
      <c r="P50" s="40">
        <v>1</v>
      </c>
      <c r="Q50" s="52"/>
    </row>
    <row r="51" spans="1:17" ht="18" customHeight="1" x14ac:dyDescent="0.2">
      <c r="A51" s="47"/>
      <c r="B51" s="47"/>
      <c r="C51" s="47"/>
      <c r="D51" s="47"/>
      <c r="E51" s="47"/>
      <c r="F51" s="47"/>
      <c r="G51" s="47"/>
      <c r="H51" s="47"/>
      <c r="I51" s="47"/>
      <c r="J51" s="47"/>
      <c r="K51" s="54" t="str">
        <f t="shared" si="1"/>
        <v>MFD-Colour_Ky_H_2</v>
      </c>
      <c r="L51" s="40" t="str">
        <f>IF(VLOOKUP(K51,Data!A:H,8,FALSE)=0,"Not Offered",VLOOKUP(K51,Data!A:H,8,FALSE))</f>
        <v>TASKalfa 7353ci</v>
      </c>
      <c r="M51" s="39" t="s">
        <v>402</v>
      </c>
      <c r="N51" s="40" t="s">
        <v>7</v>
      </c>
      <c r="O51" s="40" t="s">
        <v>892</v>
      </c>
      <c r="P51" s="40">
        <v>2</v>
      </c>
      <c r="Q51" s="52"/>
    </row>
    <row r="52" spans="1:17" ht="18" customHeight="1" x14ac:dyDescent="0.2">
      <c r="A52" s="47"/>
      <c r="B52" s="47"/>
      <c r="C52" s="47"/>
      <c r="D52" s="47"/>
      <c r="E52" s="47"/>
      <c r="F52" s="47"/>
      <c r="G52" s="47"/>
      <c r="H52" s="47"/>
      <c r="I52" s="47"/>
      <c r="J52" s="47"/>
      <c r="K52" s="54" t="str">
        <f t="shared" si="1"/>
        <v>MFD-Colour_Ky_H_3</v>
      </c>
      <c r="L52" s="40" t="str">
        <f>IF(VLOOKUP(K52,Data!A:H,8,FALSE)=0,"Not Offered",VLOOKUP(K52,Data!A:H,8,FALSE))</f>
        <v>TASKalfa 8353ci</v>
      </c>
      <c r="M52" s="39" t="s">
        <v>402</v>
      </c>
      <c r="N52" s="40" t="s">
        <v>7</v>
      </c>
      <c r="O52" s="40" t="s">
        <v>892</v>
      </c>
      <c r="P52" s="40">
        <v>3</v>
      </c>
      <c r="Q52" s="52"/>
    </row>
    <row r="53" spans="1:17" ht="18" customHeight="1" x14ac:dyDescent="0.2">
      <c r="A53" s="47"/>
      <c r="B53" s="47"/>
      <c r="C53" s="47"/>
      <c r="D53" s="47"/>
      <c r="E53" s="47"/>
      <c r="F53" s="47"/>
      <c r="G53" s="47"/>
      <c r="H53" s="47"/>
      <c r="I53" s="47"/>
      <c r="J53" s="47"/>
      <c r="K53" s="54" t="str">
        <f t="shared" si="1"/>
        <v>MFD-Colour_Ky_H_4</v>
      </c>
      <c r="L53" s="41" t="str">
        <f>IF(VLOOKUP(K53,Data!A:H,8,FALSE)=0,"Not Offered",VLOOKUP(K53,Data!A:H,8,FALSE))</f>
        <v>TASKalfa 7054ci</v>
      </c>
      <c r="M53" s="44" t="s">
        <v>402</v>
      </c>
      <c r="N53" s="41" t="s">
        <v>7</v>
      </c>
      <c r="O53" s="41" t="s">
        <v>892</v>
      </c>
      <c r="P53" s="41">
        <v>4</v>
      </c>
      <c r="Q53" s="57"/>
    </row>
    <row r="54" spans="1:17" ht="18" customHeight="1" x14ac:dyDescent="0.2">
      <c r="A54" s="47"/>
      <c r="B54" s="47"/>
      <c r="C54" s="47"/>
      <c r="D54" s="47"/>
      <c r="E54" s="47"/>
      <c r="F54" s="47"/>
      <c r="G54" s="47"/>
      <c r="H54" s="47"/>
      <c r="I54" s="47"/>
      <c r="J54" s="47"/>
      <c r="K54" s="54" t="str">
        <f t="shared" si="1"/>
        <v>MFD-Colour_Ri_H_1</v>
      </c>
      <c r="L54" s="40" t="str">
        <f>IF(VLOOKUP(K54,Data!A:H,8,FALSE)=0,"Not Offered",VLOOKUP(K54,Data!A:H,8,FALSE))</f>
        <v>IM C6010</v>
      </c>
      <c r="M54" s="39" t="s">
        <v>402</v>
      </c>
      <c r="N54" s="40" t="s">
        <v>8</v>
      </c>
      <c r="O54" s="40" t="s">
        <v>892</v>
      </c>
      <c r="P54" s="40">
        <v>1</v>
      </c>
      <c r="Q54" s="52"/>
    </row>
    <row r="55" spans="1:17" ht="18" customHeight="1" x14ac:dyDescent="0.2">
      <c r="A55" s="47"/>
      <c r="B55" s="47"/>
      <c r="C55" s="47"/>
      <c r="D55" s="47"/>
      <c r="E55" s="47"/>
      <c r="F55" s="47"/>
      <c r="G55" s="47"/>
      <c r="H55" s="47"/>
      <c r="I55" s="47"/>
      <c r="J55" s="47"/>
      <c r="K55" s="54" t="str">
        <f t="shared" si="1"/>
        <v>MFD-Colour_Ri_H_2</v>
      </c>
      <c r="L55" s="40" t="str">
        <f>IF(VLOOKUP(K55,Data!A:H,8,FALSE)=0,"Not Offered",VLOOKUP(K55,Data!A:H,8,FALSE))</f>
        <v>IM C6500</v>
      </c>
      <c r="M55" s="39" t="s">
        <v>402</v>
      </c>
      <c r="N55" s="40" t="s">
        <v>8</v>
      </c>
      <c r="O55" s="40" t="s">
        <v>892</v>
      </c>
      <c r="P55" s="40">
        <v>2</v>
      </c>
      <c r="Q55" s="52"/>
    </row>
    <row r="56" spans="1:17" ht="18" customHeight="1" x14ac:dyDescent="0.2">
      <c r="A56" s="47"/>
      <c r="B56" s="47"/>
      <c r="C56" s="47"/>
      <c r="D56" s="47"/>
      <c r="E56" s="47"/>
      <c r="F56" s="47"/>
      <c r="G56" s="47"/>
      <c r="H56" s="47"/>
      <c r="I56" s="47"/>
      <c r="J56" s="47"/>
      <c r="K56" s="54" t="str">
        <f t="shared" si="1"/>
        <v>MFD-Colour_Ri_H_3</v>
      </c>
      <c r="L56" s="40" t="str">
        <f>IF(VLOOKUP(K56,Data!A:H,8,FALSE)=0,"Not Offered",VLOOKUP(K56,Data!A:H,8,FALSE))</f>
        <v>IM C8000</v>
      </c>
      <c r="M56" s="39" t="s">
        <v>402</v>
      </c>
      <c r="N56" s="40" t="s">
        <v>8</v>
      </c>
      <c r="O56" s="40" t="s">
        <v>892</v>
      </c>
      <c r="P56" s="40">
        <v>3</v>
      </c>
      <c r="Q56" s="52"/>
    </row>
    <row r="57" spans="1:17" ht="18" customHeight="1" x14ac:dyDescent="0.2">
      <c r="A57" s="47"/>
      <c r="B57" s="47"/>
      <c r="C57" s="47"/>
      <c r="D57" s="47"/>
      <c r="E57" s="47"/>
      <c r="F57" s="47"/>
      <c r="G57" s="47"/>
      <c r="H57" s="47"/>
      <c r="I57" s="47"/>
      <c r="J57" s="47"/>
      <c r="K57" s="54" t="str">
        <f t="shared" si="1"/>
        <v>MFD-Colour_Ri_H_4</v>
      </c>
      <c r="L57" s="41" t="str">
        <f>IF(VLOOKUP(K57,Data!A:H,8,FALSE)=0,"Not Offered",VLOOKUP(K57,Data!A:H,8,FALSE))</f>
        <v>Not Offered</v>
      </c>
      <c r="M57" s="44" t="s">
        <v>402</v>
      </c>
      <c r="N57" s="41" t="s">
        <v>8</v>
      </c>
      <c r="O57" s="41" t="s">
        <v>892</v>
      </c>
      <c r="P57" s="41">
        <v>4</v>
      </c>
      <c r="Q57" s="57"/>
    </row>
    <row r="58" spans="1:17" ht="18" customHeight="1" x14ac:dyDescent="0.2">
      <c r="A58" s="47"/>
      <c r="B58" s="47"/>
      <c r="C58" s="47"/>
      <c r="D58" s="47"/>
      <c r="E58" s="47"/>
      <c r="F58" s="47"/>
      <c r="G58" s="47"/>
      <c r="H58" s="47"/>
      <c r="I58" s="47"/>
      <c r="J58" s="47"/>
      <c r="K58" s="54" t="str">
        <f t="shared" si="1"/>
        <v>MFD-BW_FX_E_1</v>
      </c>
      <c r="L58" s="39" t="e">
        <f>IF(VLOOKUP(K58,Data!A:H,8,FALSE)=0,"Not Offered",VLOOKUP(K58,Data!A:H,8,FALSE))</f>
        <v>#N/A</v>
      </c>
      <c r="M58" s="39" t="s">
        <v>434</v>
      </c>
      <c r="N58" s="40" t="s">
        <v>2014</v>
      </c>
      <c r="O58" s="39" t="s">
        <v>889</v>
      </c>
      <c r="P58" s="39">
        <v>1</v>
      </c>
      <c r="Q58" s="52"/>
    </row>
    <row r="59" spans="1:17" ht="18" customHeight="1" x14ac:dyDescent="0.2">
      <c r="A59" s="47"/>
      <c r="B59" s="47"/>
      <c r="C59" s="47"/>
      <c r="D59" s="47"/>
      <c r="E59" s="47"/>
      <c r="F59" s="47"/>
      <c r="G59" s="47"/>
      <c r="H59" s="47"/>
      <c r="I59" s="47"/>
      <c r="J59" s="47"/>
      <c r="K59" s="54" t="str">
        <f t="shared" si="1"/>
        <v>MFD-BW_Ko_E_1</v>
      </c>
      <c r="L59" s="39" t="str">
        <f>IF(VLOOKUP(K59,Data!A:H,8,FALSE)=0,"Not Offered",VLOOKUP(K59,Data!A:H,8,FALSE))</f>
        <v>bizhub 227</v>
      </c>
      <c r="M59" s="39" t="s">
        <v>434</v>
      </c>
      <c r="N59" s="40" t="s">
        <v>10</v>
      </c>
      <c r="O59" s="39" t="s">
        <v>889</v>
      </c>
      <c r="P59" s="39">
        <v>1</v>
      </c>
      <c r="Q59" s="52"/>
    </row>
    <row r="60" spans="1:17" ht="18" customHeight="1" x14ac:dyDescent="0.2">
      <c r="A60" s="47"/>
      <c r="B60" s="47"/>
      <c r="C60" s="47"/>
      <c r="D60" s="47"/>
      <c r="E60" s="47"/>
      <c r="F60" s="47"/>
      <c r="G60" s="47"/>
      <c r="H60" s="47"/>
      <c r="I60" s="47"/>
      <c r="J60" s="47"/>
      <c r="K60" s="54" t="str">
        <f t="shared" si="1"/>
        <v>MFD-BW_Ky_E_1</v>
      </c>
      <c r="L60" s="39" t="str">
        <f>IF(VLOOKUP(K60,Data!A:H,8,FALSE)=0,"Not Offered",VLOOKUP(K60,Data!A:H,8,FALSE))</f>
        <v>Ecosys M4125idn</v>
      </c>
      <c r="M60" s="39" t="s">
        <v>434</v>
      </c>
      <c r="N60" s="40" t="s">
        <v>7</v>
      </c>
      <c r="O60" s="39" t="s">
        <v>889</v>
      </c>
      <c r="P60" s="39">
        <v>1</v>
      </c>
      <c r="Q60" s="52"/>
    </row>
    <row r="61" spans="1:17" ht="18" customHeight="1" x14ac:dyDescent="0.2">
      <c r="A61" s="47"/>
      <c r="B61" s="47"/>
      <c r="C61" s="47"/>
      <c r="D61" s="47"/>
      <c r="E61" s="47"/>
      <c r="F61" s="47"/>
      <c r="G61" s="47"/>
      <c r="H61" s="47"/>
      <c r="I61" s="47"/>
      <c r="J61" s="47"/>
      <c r="K61" s="54" t="str">
        <f t="shared" si="1"/>
        <v>MFD-BW_Ri_E_1</v>
      </c>
      <c r="L61" s="39" t="str">
        <f>IF(VLOOKUP(K61,Data!A:H,8,FALSE)=0,"Not Offered",VLOOKUP(K61,Data!A:H,8,FALSE))</f>
        <v>M 320F</v>
      </c>
      <c r="M61" s="39" t="s">
        <v>434</v>
      </c>
      <c r="N61" s="40" t="s">
        <v>8</v>
      </c>
      <c r="O61" s="39" t="s">
        <v>889</v>
      </c>
      <c r="P61" s="39">
        <v>1</v>
      </c>
      <c r="Q61" s="52"/>
    </row>
    <row r="62" spans="1:17" ht="18" customHeight="1" x14ac:dyDescent="0.2">
      <c r="A62" s="47"/>
      <c r="B62" s="47"/>
      <c r="C62" s="47"/>
      <c r="D62" s="47"/>
      <c r="E62" s="47"/>
      <c r="F62" s="47"/>
      <c r="G62" s="47"/>
      <c r="H62" s="47"/>
      <c r="I62" s="47"/>
      <c r="J62" s="47"/>
      <c r="K62" s="54" t="str">
        <f t="shared" si="1"/>
        <v>MFD-BW_FX_L_1</v>
      </c>
      <c r="L62" s="39" t="e">
        <f>IF(VLOOKUP(K62,Data!A:H,8,FALSE)=0,"Not Offered",VLOOKUP(K62,Data!A:H,8,FALSE))</f>
        <v>#N/A</v>
      </c>
      <c r="M62" s="39" t="s">
        <v>434</v>
      </c>
      <c r="N62" s="40" t="s">
        <v>2014</v>
      </c>
      <c r="O62" s="39" t="s">
        <v>890</v>
      </c>
      <c r="P62" s="39">
        <v>1</v>
      </c>
      <c r="Q62" s="52"/>
    </row>
    <row r="63" spans="1:17" ht="18" customHeight="1" x14ac:dyDescent="0.2">
      <c r="A63" s="47"/>
      <c r="B63" s="47"/>
      <c r="C63" s="47"/>
      <c r="D63" s="47"/>
      <c r="E63" s="47"/>
      <c r="F63" s="47"/>
      <c r="G63" s="47"/>
      <c r="H63" s="47"/>
      <c r="I63" s="47"/>
      <c r="J63" s="47"/>
      <c r="K63" s="54" t="str">
        <f t="shared" si="1"/>
        <v>MFD-BW_FX_L_2</v>
      </c>
      <c r="L63" s="39" t="e">
        <f>IF(VLOOKUP(K63,Data!A:H,8,FALSE)=0,"Not Offered",VLOOKUP(K63,Data!A:H,8,FALSE))</f>
        <v>#N/A</v>
      </c>
      <c r="M63" s="39" t="s">
        <v>434</v>
      </c>
      <c r="N63" s="40" t="s">
        <v>2014</v>
      </c>
      <c r="O63" s="39" t="s">
        <v>890</v>
      </c>
      <c r="P63" s="39">
        <v>2</v>
      </c>
      <c r="Q63" s="52"/>
    </row>
    <row r="64" spans="1:17" ht="18" customHeight="1" x14ac:dyDescent="0.2">
      <c r="A64" s="47"/>
      <c r="B64" s="47"/>
      <c r="C64" s="47"/>
      <c r="D64" s="47"/>
      <c r="E64" s="47"/>
      <c r="F64" s="47"/>
      <c r="G64" s="47"/>
      <c r="H64" s="47"/>
      <c r="I64" s="47"/>
      <c r="J64" s="47"/>
      <c r="K64" s="54" t="str">
        <f t="shared" si="1"/>
        <v>MFD-BW_Ko_L_1</v>
      </c>
      <c r="L64" s="39" t="str">
        <f>IF(VLOOKUP(K64,Data!A:H,8,FALSE)=0,"Not Offered",VLOOKUP(K64,Data!A:H,8,FALSE))</f>
        <v>bizhub 300i</v>
      </c>
      <c r="M64" s="39" t="s">
        <v>434</v>
      </c>
      <c r="N64" s="40" t="s">
        <v>10</v>
      </c>
      <c r="O64" s="39" t="s">
        <v>890</v>
      </c>
      <c r="P64" s="39">
        <v>1</v>
      </c>
      <c r="Q64" s="52"/>
    </row>
    <row r="65" spans="1:17" ht="18" customHeight="1" x14ac:dyDescent="0.2">
      <c r="A65" s="47"/>
      <c r="B65" s="47"/>
      <c r="C65" s="47"/>
      <c r="D65" s="47"/>
      <c r="E65" s="47"/>
      <c r="F65" s="47"/>
      <c r="G65" s="47"/>
      <c r="H65" s="47"/>
      <c r="I65" s="47"/>
      <c r="J65" s="47"/>
      <c r="K65" s="54" t="str">
        <f t="shared" si="1"/>
        <v>MFD-BW_Ko_L_2</v>
      </c>
      <c r="L65" s="39" t="str">
        <f>IF(VLOOKUP(K65,Data!A:H,8,FALSE)=0,"Not Offered",VLOOKUP(K65,Data!A:H,8,FALSE))</f>
        <v>bizhub 360i</v>
      </c>
      <c r="M65" s="39" t="s">
        <v>434</v>
      </c>
      <c r="N65" s="40" t="s">
        <v>10</v>
      </c>
      <c r="O65" s="39" t="s">
        <v>890</v>
      </c>
      <c r="P65" s="39">
        <v>2</v>
      </c>
      <c r="Q65" s="52"/>
    </row>
    <row r="66" spans="1:17" ht="18" customHeight="1" x14ac:dyDescent="0.2">
      <c r="A66" s="47"/>
      <c r="B66" s="47"/>
      <c r="C66" s="47"/>
      <c r="D66" s="47"/>
      <c r="E66" s="47"/>
      <c r="F66" s="47"/>
      <c r="G66" s="47"/>
      <c r="H66" s="47"/>
      <c r="I66" s="47"/>
      <c r="J66" s="47"/>
      <c r="K66" s="54" t="str">
        <f t="shared" ref="K66:K97" si="2">M66&amp;"_"&amp;IF(N66="Fuji Business Innovation","FX",LEFT(N66,2))&amp;"_"&amp;LEFT(O66,1)&amp;"_"&amp;P66</f>
        <v>MFD-BW_Ky_L_1</v>
      </c>
      <c r="L66" s="39" t="str">
        <f>IF(VLOOKUP(K66,Data!A:H,8,FALSE)=0,"Not Offered",VLOOKUP(K66,Data!A:H,8,FALSE))</f>
        <v>Ecosys M4132idn</v>
      </c>
      <c r="M66" s="39" t="s">
        <v>434</v>
      </c>
      <c r="N66" s="40" t="s">
        <v>7</v>
      </c>
      <c r="O66" s="39" t="s">
        <v>890</v>
      </c>
      <c r="P66" s="39">
        <v>1</v>
      </c>
      <c r="Q66" s="52"/>
    </row>
    <row r="67" spans="1:17" ht="18" customHeight="1" x14ac:dyDescent="0.2">
      <c r="A67" s="47"/>
      <c r="B67" s="47"/>
      <c r="C67" s="47"/>
      <c r="D67" s="47"/>
      <c r="E67" s="47"/>
      <c r="F67" s="47"/>
      <c r="G67" s="47"/>
      <c r="H67" s="47"/>
      <c r="I67" s="47"/>
      <c r="J67" s="47"/>
      <c r="K67" s="54" t="str">
        <f t="shared" si="2"/>
        <v>MFD-BW_Ky_L_2</v>
      </c>
      <c r="L67" s="39" t="str">
        <f>IF(VLOOKUP(K67,Data!A:H,8,FALSE)=0,"Not Offered",VLOOKUP(K67,Data!A:H,8,FALSE))</f>
        <v>MZ3200i</v>
      </c>
      <c r="M67" s="39" t="s">
        <v>434</v>
      </c>
      <c r="N67" s="40" t="s">
        <v>7</v>
      </c>
      <c r="O67" s="39" t="s">
        <v>890</v>
      </c>
      <c r="P67" s="39">
        <v>2</v>
      </c>
      <c r="Q67" s="52"/>
    </row>
    <row r="68" spans="1:17" ht="18" customHeight="1" x14ac:dyDescent="0.2">
      <c r="A68" s="47"/>
      <c r="B68" s="47"/>
      <c r="C68" s="47"/>
      <c r="D68" s="47"/>
      <c r="E68" s="47"/>
      <c r="F68" s="47"/>
      <c r="G68" s="47"/>
      <c r="H68" s="47"/>
      <c r="I68" s="47"/>
      <c r="J68" s="47"/>
      <c r="K68" s="54" t="str">
        <f t="shared" si="2"/>
        <v>MFD-BW_Ri_L_1</v>
      </c>
      <c r="L68" s="39" t="str">
        <f>IF(VLOOKUP(K68,Data!A:H,8,FALSE)=0,"Not Offered",VLOOKUP(K68,Data!A:H,8,FALSE))</f>
        <v>IM 3000</v>
      </c>
      <c r="M68" s="39" t="s">
        <v>434</v>
      </c>
      <c r="N68" s="40" t="s">
        <v>8</v>
      </c>
      <c r="O68" s="39" t="s">
        <v>890</v>
      </c>
      <c r="P68" s="39">
        <v>1</v>
      </c>
      <c r="Q68" s="52"/>
    </row>
    <row r="69" spans="1:17" ht="18" customHeight="1" x14ac:dyDescent="0.2">
      <c r="A69" s="47"/>
      <c r="B69" s="47"/>
      <c r="C69" s="47"/>
      <c r="D69" s="47"/>
      <c r="E69" s="47"/>
      <c r="F69" s="47"/>
      <c r="G69" s="47"/>
      <c r="H69" s="47"/>
      <c r="I69" s="47"/>
      <c r="J69" s="47"/>
      <c r="K69" s="54" t="str">
        <f t="shared" si="2"/>
        <v>MFD-BW_Ri_L_2</v>
      </c>
      <c r="L69" s="39" t="str">
        <f>IF(VLOOKUP(K69,Data!A:H,8,FALSE)=0,"Not Offered",VLOOKUP(K69,Data!A:H,8,FALSE))</f>
        <v>MP 305+SPF</v>
      </c>
      <c r="M69" s="39" t="s">
        <v>434</v>
      </c>
      <c r="N69" s="40" t="s">
        <v>8</v>
      </c>
      <c r="O69" s="39" t="s">
        <v>890</v>
      </c>
      <c r="P69" s="39">
        <v>2</v>
      </c>
      <c r="Q69" s="52"/>
    </row>
    <row r="70" spans="1:17" ht="18" customHeight="1" x14ac:dyDescent="0.2">
      <c r="A70" s="47"/>
      <c r="B70" s="47"/>
      <c r="C70" s="47"/>
      <c r="D70" s="47"/>
      <c r="E70" s="47"/>
      <c r="F70" s="47"/>
      <c r="G70" s="47"/>
      <c r="H70" s="47"/>
      <c r="I70" s="47"/>
      <c r="J70" s="47"/>
      <c r="K70" s="54" t="str">
        <f t="shared" si="2"/>
        <v>MFD-BW_FX_M_1</v>
      </c>
      <c r="L70" s="39" t="e">
        <f>IF(VLOOKUP(K70,Data!A:H,8,FALSE)=0,"Not Offered",VLOOKUP(K70,Data!A:H,8,FALSE))</f>
        <v>#N/A</v>
      </c>
      <c r="M70" s="39" t="s">
        <v>434</v>
      </c>
      <c r="N70" s="40" t="s">
        <v>2014</v>
      </c>
      <c r="O70" s="39" t="s">
        <v>891</v>
      </c>
      <c r="P70" s="39">
        <v>1</v>
      </c>
      <c r="Q70" s="52"/>
    </row>
    <row r="71" spans="1:17" ht="18" customHeight="1" x14ac:dyDescent="0.2">
      <c r="A71" s="47"/>
      <c r="B71" s="47"/>
      <c r="C71" s="47"/>
      <c r="D71" s="47"/>
      <c r="E71" s="47"/>
      <c r="F71" s="47"/>
      <c r="G71" s="47"/>
      <c r="H71" s="47"/>
      <c r="I71" s="47"/>
      <c r="J71" s="47"/>
      <c r="K71" s="54" t="str">
        <f t="shared" si="2"/>
        <v>MFD-BW_FX_M_2</v>
      </c>
      <c r="L71" s="39" t="e">
        <f>IF(VLOOKUP(K71,Data!A:H,8,FALSE)=0,"Not Offered",VLOOKUP(K71,Data!A:H,8,FALSE))</f>
        <v>#N/A</v>
      </c>
      <c r="M71" s="39" t="s">
        <v>434</v>
      </c>
      <c r="N71" s="40" t="s">
        <v>2014</v>
      </c>
      <c r="O71" s="39" t="s">
        <v>891</v>
      </c>
      <c r="P71" s="39">
        <v>2</v>
      </c>
      <c r="Q71" s="52"/>
    </row>
    <row r="72" spans="1:17" ht="18" customHeight="1" x14ac:dyDescent="0.2">
      <c r="A72" s="47"/>
      <c r="B72" s="47"/>
      <c r="C72" s="47"/>
      <c r="D72" s="47"/>
      <c r="E72" s="47"/>
      <c r="F72" s="47"/>
      <c r="G72" s="47"/>
      <c r="H72" s="47"/>
      <c r="I72" s="47"/>
      <c r="J72" s="47"/>
      <c r="K72" s="54" t="str">
        <f t="shared" si="2"/>
        <v>MFD-BW_FX_M_3</v>
      </c>
      <c r="L72" s="39" t="e">
        <f>IF(VLOOKUP(K72,Data!A:H,8,FALSE)=0,"Not Offered",VLOOKUP(K72,Data!A:H,8,FALSE))</f>
        <v>#N/A</v>
      </c>
      <c r="M72" s="39" t="s">
        <v>434</v>
      </c>
      <c r="N72" s="40" t="s">
        <v>2014</v>
      </c>
      <c r="O72" s="39" t="s">
        <v>891</v>
      </c>
      <c r="P72" s="39">
        <v>3</v>
      </c>
      <c r="Q72" s="52"/>
    </row>
    <row r="73" spans="1:17" ht="18" customHeight="1" x14ac:dyDescent="0.2">
      <c r="A73" s="47"/>
      <c r="B73" s="47"/>
      <c r="C73" s="47"/>
      <c r="D73" s="47"/>
      <c r="E73" s="47"/>
      <c r="F73" s="47"/>
      <c r="G73" s="47"/>
      <c r="H73" s="47"/>
      <c r="I73" s="47"/>
      <c r="J73" s="47"/>
      <c r="K73" s="54" t="str">
        <f t="shared" si="2"/>
        <v>MFD-BW_Ko_M_1</v>
      </c>
      <c r="L73" s="39" t="str">
        <f>IF(VLOOKUP(K73,Data!A:H,8,FALSE)=0,"Not Offered",VLOOKUP(K73,Data!A:H,8,FALSE))</f>
        <v>bizhub 4051i</v>
      </c>
      <c r="M73" s="39" t="s">
        <v>434</v>
      </c>
      <c r="N73" s="40" t="s">
        <v>10</v>
      </c>
      <c r="O73" s="39" t="s">
        <v>891</v>
      </c>
      <c r="P73" s="39">
        <v>1</v>
      </c>
      <c r="Q73" s="52"/>
    </row>
    <row r="74" spans="1:17" ht="18" customHeight="1" x14ac:dyDescent="0.2">
      <c r="A74" s="47"/>
      <c r="B74" s="47"/>
      <c r="C74" s="47"/>
      <c r="D74" s="47"/>
      <c r="E74" s="47"/>
      <c r="F74" s="47"/>
      <c r="G74" s="47"/>
      <c r="H74" s="47"/>
      <c r="I74" s="47"/>
      <c r="J74" s="47"/>
      <c r="K74" s="54" t="str">
        <f t="shared" si="2"/>
        <v>MFD-BW_Ko_M_2</v>
      </c>
      <c r="L74" s="39" t="str">
        <f>IF(VLOOKUP(K74,Data!A:H,8,FALSE)=0,"Not Offered",VLOOKUP(K74,Data!A:H,8,FALSE))</f>
        <v>bizhub 450i</v>
      </c>
      <c r="M74" s="39" t="s">
        <v>434</v>
      </c>
      <c r="N74" s="40" t="s">
        <v>10</v>
      </c>
      <c r="O74" s="39" t="s">
        <v>891</v>
      </c>
      <c r="P74" s="39">
        <v>2</v>
      </c>
      <c r="Q74" s="52"/>
    </row>
    <row r="75" spans="1:17" ht="18" customHeight="1" x14ac:dyDescent="0.2">
      <c r="A75" s="47"/>
      <c r="B75" s="47"/>
      <c r="C75" s="47"/>
      <c r="D75" s="47"/>
      <c r="E75" s="47"/>
      <c r="F75" s="47"/>
      <c r="G75" s="47"/>
      <c r="H75" s="47"/>
      <c r="I75" s="47"/>
      <c r="J75" s="47"/>
      <c r="K75" s="54" t="str">
        <f t="shared" si="2"/>
        <v>MFD-BW_Ko_M_3</v>
      </c>
      <c r="L75" s="39" t="str">
        <f>IF(VLOOKUP(K75,Data!A:H,8,FALSE)=0,"Not Offered",VLOOKUP(K75,Data!A:H,8,FALSE))</f>
        <v>bizhub 550i</v>
      </c>
      <c r="M75" s="39" t="s">
        <v>434</v>
      </c>
      <c r="N75" s="40" t="s">
        <v>10</v>
      </c>
      <c r="O75" s="39" t="s">
        <v>891</v>
      </c>
      <c r="P75" s="39">
        <v>3</v>
      </c>
      <c r="Q75" s="52"/>
    </row>
    <row r="76" spans="1:17" ht="18" customHeight="1" x14ac:dyDescent="0.2">
      <c r="A76" s="47"/>
      <c r="B76" s="47"/>
      <c r="C76" s="47"/>
      <c r="D76" s="47"/>
      <c r="E76" s="47"/>
      <c r="F76" s="47"/>
      <c r="G76" s="47"/>
      <c r="H76" s="47"/>
      <c r="I76" s="47"/>
      <c r="J76" s="47"/>
      <c r="K76" s="54" t="str">
        <f t="shared" si="2"/>
        <v>MFD-BW_Ky_M_1</v>
      </c>
      <c r="L76" s="39" t="str">
        <f>IF(VLOOKUP(K76,Data!A:H,8,FALSE)=0,"Not Offered",VLOOKUP(K76,Data!A:H,8,FALSE))</f>
        <v>MZ4000i</v>
      </c>
      <c r="M76" s="39" t="s">
        <v>434</v>
      </c>
      <c r="N76" s="40" t="s">
        <v>7</v>
      </c>
      <c r="O76" s="39" t="s">
        <v>891</v>
      </c>
      <c r="P76" s="39">
        <v>1</v>
      </c>
      <c r="Q76" s="52"/>
    </row>
    <row r="77" spans="1:17" ht="18" customHeight="1" x14ac:dyDescent="0.2">
      <c r="A77" s="47"/>
      <c r="B77" s="47"/>
      <c r="C77" s="47"/>
      <c r="D77" s="47"/>
      <c r="E77" s="47"/>
      <c r="F77" s="47"/>
      <c r="G77" s="47"/>
      <c r="H77" s="47"/>
      <c r="I77" s="47"/>
      <c r="J77" s="47"/>
      <c r="K77" s="54" t="str">
        <f t="shared" si="2"/>
        <v>MFD-BW_Ky_M_2</v>
      </c>
      <c r="L77" s="39" t="str">
        <f>IF(VLOOKUP(K77,Data!A:H,8,FALSE)=0,"Not Offered",VLOOKUP(K77,Data!A:H,8,FALSE))</f>
        <v>TASKalfa 5004i</v>
      </c>
      <c r="M77" s="39" t="s">
        <v>434</v>
      </c>
      <c r="N77" s="40" t="s">
        <v>7</v>
      </c>
      <c r="O77" s="39" t="s">
        <v>891</v>
      </c>
      <c r="P77" s="39">
        <v>2</v>
      </c>
      <c r="Q77" s="52"/>
    </row>
    <row r="78" spans="1:17" ht="18" customHeight="1" x14ac:dyDescent="0.2">
      <c r="A78" s="47"/>
      <c r="B78" s="47"/>
      <c r="C78" s="47"/>
      <c r="D78" s="47"/>
      <c r="E78" s="47"/>
      <c r="F78" s="47"/>
      <c r="G78" s="47"/>
      <c r="H78" s="47"/>
      <c r="I78" s="47"/>
      <c r="J78" s="47"/>
      <c r="K78" s="54" t="str">
        <f t="shared" si="2"/>
        <v>MFD-BW_Ky_M_3</v>
      </c>
      <c r="L78" s="39" t="str">
        <f>IF(VLOOKUP(K78,Data!A:H,8,FALSE)=0,"Not Offered",VLOOKUP(K78,Data!A:H,8,FALSE))</f>
        <v>Ecosys M2040dn</v>
      </c>
      <c r="M78" s="39" t="s">
        <v>434</v>
      </c>
      <c r="N78" s="40" t="s">
        <v>7</v>
      </c>
      <c r="O78" s="39" t="s">
        <v>891</v>
      </c>
      <c r="P78" s="39">
        <v>3</v>
      </c>
      <c r="Q78" s="52"/>
    </row>
    <row r="79" spans="1:17" ht="18" customHeight="1" x14ac:dyDescent="0.2">
      <c r="A79" s="47"/>
      <c r="B79" s="47"/>
      <c r="C79" s="47"/>
      <c r="D79" s="47"/>
      <c r="E79" s="47"/>
      <c r="F79" s="47"/>
      <c r="G79" s="47"/>
      <c r="H79" s="47"/>
      <c r="I79" s="47"/>
      <c r="J79" s="47"/>
      <c r="K79" s="54" t="str">
        <f t="shared" si="2"/>
        <v>MFD-BW_Ri_M_1</v>
      </c>
      <c r="L79" s="39" t="str">
        <f>IF(VLOOKUP(K79,Data!A:H,8,FALSE)=0,"Not Offered",VLOOKUP(K79,Data!A:H,8,FALSE))</f>
        <v>IM 4000</v>
      </c>
      <c r="M79" s="39" t="s">
        <v>434</v>
      </c>
      <c r="N79" s="40" t="s">
        <v>8</v>
      </c>
      <c r="O79" s="39" t="s">
        <v>891</v>
      </c>
      <c r="P79" s="39">
        <v>1</v>
      </c>
      <c r="Q79" s="52"/>
    </row>
    <row r="80" spans="1:17" ht="18" customHeight="1" x14ac:dyDescent="0.2">
      <c r="A80" s="47"/>
      <c r="B80" s="47"/>
      <c r="C80" s="47"/>
      <c r="D80" s="47"/>
      <c r="E80" s="47"/>
      <c r="F80" s="47"/>
      <c r="G80" s="47"/>
      <c r="H80" s="47"/>
      <c r="I80" s="47"/>
      <c r="J80" s="47"/>
      <c r="K80" s="54" t="str">
        <f t="shared" si="2"/>
        <v>MFD-BW_Ri_M_2</v>
      </c>
      <c r="L80" s="39" t="str">
        <f>IF(VLOOKUP(K80,Data!A:H,8,FALSE)=0,"Not Offered",VLOOKUP(K80,Data!A:H,8,FALSE))</f>
        <v>IM 550F</v>
      </c>
      <c r="M80" s="39" t="s">
        <v>434</v>
      </c>
      <c r="N80" s="40" t="s">
        <v>8</v>
      </c>
      <c r="O80" s="39" t="s">
        <v>891</v>
      </c>
      <c r="P80" s="39">
        <v>2</v>
      </c>
      <c r="Q80" s="52"/>
    </row>
    <row r="81" spans="1:17" ht="18" customHeight="1" x14ac:dyDescent="0.2">
      <c r="A81" s="47"/>
      <c r="B81" s="47"/>
      <c r="C81" s="47"/>
      <c r="D81" s="47"/>
      <c r="E81" s="47"/>
      <c r="F81" s="47"/>
      <c r="G81" s="47"/>
      <c r="H81" s="47"/>
      <c r="I81" s="47"/>
      <c r="J81" s="47"/>
      <c r="K81" s="54" t="str">
        <f t="shared" si="2"/>
        <v>MFD-BW_Ri_M_3</v>
      </c>
      <c r="L81" s="39" t="str">
        <f>IF(VLOOKUP(K81,Data!A:H,8,FALSE)=0,"Not Offered",VLOOKUP(K81,Data!A:H,8,FALSE))</f>
        <v>IM 430F</v>
      </c>
      <c r="M81" s="39" t="s">
        <v>434</v>
      </c>
      <c r="N81" s="40" t="s">
        <v>8</v>
      </c>
      <c r="O81" s="39" t="s">
        <v>891</v>
      </c>
      <c r="P81" s="39">
        <v>3</v>
      </c>
      <c r="Q81" s="52"/>
    </row>
    <row r="82" spans="1:17" ht="18" customHeight="1" x14ac:dyDescent="0.2">
      <c r="A82" s="47"/>
      <c r="B82" s="47"/>
      <c r="C82" s="47"/>
      <c r="D82" s="47"/>
      <c r="E82" s="47"/>
      <c r="F82" s="47"/>
      <c r="G82" s="47"/>
      <c r="H82" s="47"/>
      <c r="I82" s="47"/>
      <c r="J82" s="47"/>
      <c r="K82" s="54" t="str">
        <f t="shared" si="2"/>
        <v>MFD-BW_FX_H_1</v>
      </c>
      <c r="L82" s="39" t="e">
        <f>IF(VLOOKUP(K82,Data!A:H,8,FALSE)=0,"Not Offered",VLOOKUP(K82,Data!A:H,8,FALSE))</f>
        <v>#N/A</v>
      </c>
      <c r="M82" s="39" t="s">
        <v>434</v>
      </c>
      <c r="N82" s="40" t="s">
        <v>2014</v>
      </c>
      <c r="O82" s="39" t="s">
        <v>892</v>
      </c>
      <c r="P82" s="39">
        <v>1</v>
      </c>
      <c r="Q82" s="52"/>
    </row>
    <row r="83" spans="1:17" ht="18" customHeight="1" x14ac:dyDescent="0.2">
      <c r="A83" s="47"/>
      <c r="B83" s="47"/>
      <c r="C83" s="47"/>
      <c r="D83" s="47"/>
      <c r="E83" s="47"/>
      <c r="F83" s="47"/>
      <c r="G83" s="47"/>
      <c r="H83" s="47"/>
      <c r="I83" s="47"/>
      <c r="J83" s="47"/>
      <c r="K83" s="54" t="str">
        <f t="shared" si="2"/>
        <v>MFD-BW_FX_H_2</v>
      </c>
      <c r="L83" s="39" t="e">
        <f>IF(VLOOKUP(K83,Data!A:H,8,FALSE)=0,"Not Offered",VLOOKUP(K83,Data!A:H,8,FALSE))</f>
        <v>#N/A</v>
      </c>
      <c r="M83" s="39" t="s">
        <v>434</v>
      </c>
      <c r="N83" s="40" t="s">
        <v>2014</v>
      </c>
      <c r="O83" s="39" t="s">
        <v>892</v>
      </c>
      <c r="P83" s="39">
        <v>2</v>
      </c>
      <c r="Q83" s="52"/>
    </row>
    <row r="84" spans="1:17" ht="18" customHeight="1" x14ac:dyDescent="0.2">
      <c r="A84" s="47"/>
      <c r="B84" s="47"/>
      <c r="C84" s="47"/>
      <c r="D84" s="47"/>
      <c r="E84" s="47"/>
      <c r="F84" s="47"/>
      <c r="G84" s="47"/>
      <c r="H84" s="47"/>
      <c r="I84" s="47"/>
      <c r="J84" s="47"/>
      <c r="K84" s="54" t="str">
        <f t="shared" si="2"/>
        <v>MFD-BW_FX_H_3</v>
      </c>
      <c r="L84" s="39" t="e">
        <f>IF(VLOOKUP(K84,Data!A:H,8,FALSE)=0,"Not Offered",VLOOKUP(K84,Data!A:H,8,FALSE))</f>
        <v>#N/A</v>
      </c>
      <c r="M84" s="39" t="s">
        <v>434</v>
      </c>
      <c r="N84" s="40" t="s">
        <v>2014</v>
      </c>
      <c r="O84" s="39" t="s">
        <v>892</v>
      </c>
      <c r="P84" s="39">
        <v>3</v>
      </c>
      <c r="Q84" s="52"/>
    </row>
    <row r="85" spans="1:17" ht="18" customHeight="1" x14ac:dyDescent="0.2">
      <c r="A85" s="47"/>
      <c r="B85" s="47"/>
      <c r="C85" s="47"/>
      <c r="D85" s="47"/>
      <c r="E85" s="47"/>
      <c r="F85" s="47"/>
      <c r="G85" s="47"/>
      <c r="H85" s="47"/>
      <c r="I85" s="47"/>
      <c r="J85" s="47"/>
      <c r="K85" s="54" t="str">
        <f t="shared" si="2"/>
        <v>MFD-BW_Ko_H_1</v>
      </c>
      <c r="L85" s="39" t="str">
        <f>IF(VLOOKUP(K85,Data!A:H,8,FALSE)=0,"Not Offered",VLOOKUP(K85,Data!A:H,8,FALSE))</f>
        <v>bizhub 650i</v>
      </c>
      <c r="M85" s="39" t="s">
        <v>434</v>
      </c>
      <c r="N85" s="40" t="s">
        <v>10</v>
      </c>
      <c r="O85" s="39" t="s">
        <v>892</v>
      </c>
      <c r="P85" s="39">
        <v>1</v>
      </c>
      <c r="Q85" s="52"/>
    </row>
    <row r="86" spans="1:17" ht="18" customHeight="1" x14ac:dyDescent="0.2">
      <c r="A86" s="47"/>
      <c r="B86" s="47"/>
      <c r="C86" s="47"/>
      <c r="D86" s="47"/>
      <c r="E86" s="47"/>
      <c r="F86" s="47"/>
      <c r="G86" s="47"/>
      <c r="H86" s="47"/>
      <c r="I86" s="47"/>
      <c r="J86" s="47"/>
      <c r="K86" s="54" t="str">
        <f t="shared" si="2"/>
        <v>MFD-BW_Ko_H_2</v>
      </c>
      <c r="L86" s="39" t="str">
        <f>IF(VLOOKUP(K86,Data!A:H,8,FALSE)=0,"Not Offered",VLOOKUP(K86,Data!A:H,8,FALSE))</f>
        <v>bizhub 750i</v>
      </c>
      <c r="M86" s="39" t="s">
        <v>434</v>
      </c>
      <c r="N86" s="40" t="s">
        <v>10</v>
      </c>
      <c r="O86" s="39" t="s">
        <v>892</v>
      </c>
      <c r="P86" s="39">
        <v>2</v>
      </c>
      <c r="Q86" s="52"/>
    </row>
    <row r="87" spans="1:17" ht="18" customHeight="1" x14ac:dyDescent="0.2">
      <c r="A87" s="47"/>
      <c r="B87" s="47"/>
      <c r="C87" s="47"/>
      <c r="D87" s="47"/>
      <c r="E87" s="47"/>
      <c r="F87" s="47"/>
      <c r="G87" s="47"/>
      <c r="H87" s="47"/>
      <c r="I87" s="47"/>
      <c r="J87" s="47"/>
      <c r="K87" s="54" t="str">
        <f t="shared" si="2"/>
        <v>MFD-BW_Ko_H_3</v>
      </c>
      <c r="L87" s="39" t="str">
        <f>IF(VLOOKUP(K87,Data!A:H,8,FALSE)=0,"Not Offered",VLOOKUP(K87,Data!A:H,8,FALSE))</f>
        <v>bizhub 958</v>
      </c>
      <c r="M87" s="39" t="s">
        <v>434</v>
      </c>
      <c r="N87" s="40" t="s">
        <v>10</v>
      </c>
      <c r="O87" s="39" t="s">
        <v>892</v>
      </c>
      <c r="P87" s="39">
        <v>3</v>
      </c>
      <c r="Q87" s="52"/>
    </row>
    <row r="88" spans="1:17" ht="18" customHeight="1" x14ac:dyDescent="0.2">
      <c r="A88" s="47"/>
      <c r="B88" s="47"/>
      <c r="C88" s="47"/>
      <c r="D88" s="47"/>
      <c r="E88" s="47"/>
      <c r="F88" s="47"/>
      <c r="G88" s="47"/>
      <c r="H88" s="47"/>
      <c r="I88" s="47"/>
      <c r="J88" s="47"/>
      <c r="K88" s="54" t="str">
        <f t="shared" si="2"/>
        <v>MFD-BW_Ky_H_1</v>
      </c>
      <c r="L88" s="39" t="str">
        <f>IF(VLOOKUP(K88,Data!A:H,8,FALSE)=0,"Not Offered",VLOOKUP(K88,Data!A:H,8,FALSE))</f>
        <v>TASkalfa 6004i</v>
      </c>
      <c r="M88" s="39" t="s">
        <v>434</v>
      </c>
      <c r="N88" s="40" t="s">
        <v>7</v>
      </c>
      <c r="O88" s="39" t="s">
        <v>892</v>
      </c>
      <c r="P88" s="39">
        <v>1</v>
      </c>
      <c r="Q88" s="52"/>
    </row>
    <row r="89" spans="1:17" ht="18" customHeight="1" x14ac:dyDescent="0.2">
      <c r="A89" s="47"/>
      <c r="B89" s="47"/>
      <c r="C89" s="47"/>
      <c r="D89" s="47"/>
      <c r="E89" s="47"/>
      <c r="F89" s="47"/>
      <c r="G89" s="47"/>
      <c r="H89" s="47"/>
      <c r="I89" s="47"/>
      <c r="J89" s="47"/>
      <c r="K89" s="54" t="str">
        <f t="shared" si="2"/>
        <v>MFD-BW_Ky_H_2</v>
      </c>
      <c r="L89" s="39" t="str">
        <f>IF(VLOOKUP(K89,Data!A:H,8,FALSE)=0,"Not Offered",VLOOKUP(K89,Data!A:H,8,FALSE))</f>
        <v>TASKalfa 7004i</v>
      </c>
      <c r="M89" s="39" t="s">
        <v>434</v>
      </c>
      <c r="N89" s="40" t="s">
        <v>7</v>
      </c>
      <c r="O89" s="39" t="s">
        <v>892</v>
      </c>
      <c r="P89" s="39">
        <v>2</v>
      </c>
      <c r="Q89" s="52"/>
    </row>
    <row r="90" spans="1:17" ht="18" customHeight="1" x14ac:dyDescent="0.2">
      <c r="A90" s="47"/>
      <c r="B90" s="47"/>
      <c r="C90" s="47"/>
      <c r="D90" s="47"/>
      <c r="E90" s="47"/>
      <c r="F90" s="47"/>
      <c r="G90" s="47"/>
      <c r="H90" s="47"/>
      <c r="I90" s="47"/>
      <c r="J90" s="47"/>
      <c r="K90" s="54" t="str">
        <f t="shared" si="2"/>
        <v>MFD-BW_Ky_H_3</v>
      </c>
      <c r="L90" s="39" t="str">
        <f>IF(VLOOKUP(K90,Data!A:H,8,FALSE)=0,"Not Offered",VLOOKUP(K90,Data!A:H,8,FALSE))</f>
        <v>TASKalfa 9003i</v>
      </c>
      <c r="M90" s="39" t="s">
        <v>434</v>
      </c>
      <c r="N90" s="40" t="s">
        <v>7</v>
      </c>
      <c r="O90" s="39" t="s">
        <v>892</v>
      </c>
      <c r="P90" s="39">
        <v>3</v>
      </c>
      <c r="Q90" s="52"/>
    </row>
    <row r="91" spans="1:17" ht="18" customHeight="1" x14ac:dyDescent="0.2">
      <c r="A91" s="47"/>
      <c r="B91" s="47"/>
      <c r="C91" s="47"/>
      <c r="D91" s="47"/>
      <c r="E91" s="47"/>
      <c r="F91" s="47"/>
      <c r="G91" s="47"/>
      <c r="H91" s="47"/>
      <c r="I91" s="47"/>
      <c r="J91" s="47"/>
      <c r="K91" s="54" t="str">
        <f t="shared" si="2"/>
        <v>MFD-BW_Ri_H_1</v>
      </c>
      <c r="L91" s="39" t="str">
        <f>IF(VLOOKUP(K91,Data!A:H,8,FALSE)=0,"Not Offered",VLOOKUP(K91,Data!A:H,8,FALSE))</f>
        <v>IM 6000</v>
      </c>
      <c r="M91" s="39" t="s">
        <v>434</v>
      </c>
      <c r="N91" s="40" t="s">
        <v>8</v>
      </c>
      <c r="O91" s="39" t="s">
        <v>892</v>
      </c>
      <c r="P91" s="39">
        <v>1</v>
      </c>
      <c r="Q91" s="52"/>
    </row>
    <row r="92" spans="1:17" ht="18" customHeight="1" x14ac:dyDescent="0.2">
      <c r="A92" s="47"/>
      <c r="B92" s="47"/>
      <c r="C92" s="47"/>
      <c r="D92" s="47"/>
      <c r="E92" s="47"/>
      <c r="F92" s="47"/>
      <c r="G92" s="47"/>
      <c r="H92" s="47"/>
      <c r="I92" s="47"/>
      <c r="J92" s="47"/>
      <c r="K92" s="54" t="str">
        <f t="shared" si="2"/>
        <v>MFD-BW_Ri_H_2</v>
      </c>
      <c r="L92" s="39" t="str">
        <f>IF(VLOOKUP(K92,Data!A:H,8,FALSE)=0,"Not Offered",VLOOKUP(K92,Data!A:H,8,FALSE))</f>
        <v>IM 7000</v>
      </c>
      <c r="M92" s="39" t="s">
        <v>434</v>
      </c>
      <c r="N92" s="40" t="s">
        <v>8</v>
      </c>
      <c r="O92" s="39" t="s">
        <v>892</v>
      </c>
      <c r="P92" s="39">
        <v>2</v>
      </c>
      <c r="Q92" s="52"/>
    </row>
    <row r="93" spans="1:17" ht="18" customHeight="1" x14ac:dyDescent="0.2">
      <c r="A93" s="47"/>
      <c r="B93" s="47"/>
      <c r="C93" s="47"/>
      <c r="D93" s="47"/>
      <c r="E93" s="47"/>
      <c r="F93" s="47"/>
      <c r="G93" s="47"/>
      <c r="H93" s="47"/>
      <c r="I93" s="47"/>
      <c r="J93" s="47"/>
      <c r="K93" s="54" t="str">
        <f t="shared" si="2"/>
        <v>MFD-BW_Ri_H_3</v>
      </c>
      <c r="L93" s="39" t="str">
        <f>IF(VLOOKUP(K93,Data!A:H,8,FALSE)=0,"Not Offered",VLOOKUP(K93,Data!A:H,8,FALSE))</f>
        <v>IM 9000</v>
      </c>
      <c r="M93" s="39" t="s">
        <v>434</v>
      </c>
      <c r="N93" s="40" t="s">
        <v>8</v>
      </c>
      <c r="O93" s="39" t="s">
        <v>892</v>
      </c>
      <c r="P93" s="39">
        <v>3</v>
      </c>
      <c r="Q93" s="52"/>
    </row>
    <row r="94" spans="1:17" ht="18" customHeight="1" x14ac:dyDescent="0.2">
      <c r="A94" s="47"/>
      <c r="B94" s="47"/>
      <c r="C94" s="47"/>
      <c r="D94" s="47"/>
      <c r="E94" s="47"/>
      <c r="F94" s="47"/>
      <c r="G94" s="47"/>
      <c r="H94" s="47"/>
      <c r="I94" s="47"/>
      <c r="J94" s="47"/>
      <c r="K94" s="54" t="str">
        <f t="shared" si="2"/>
        <v>SFP-Colour_Ko_L_1</v>
      </c>
      <c r="L94" s="39" t="str">
        <f>IF(VLOOKUP(K94,Data!A:H,8,FALSE)=0,"Not Offered",VLOOKUP(K94,Data!A:H,8,FALSE))</f>
        <v>Not Offered</v>
      </c>
      <c r="M94" s="39" t="s">
        <v>440</v>
      </c>
      <c r="N94" s="42" t="s">
        <v>10</v>
      </c>
      <c r="O94" s="39" t="s">
        <v>890</v>
      </c>
      <c r="P94" s="39">
        <v>1</v>
      </c>
      <c r="Q94" s="52"/>
    </row>
    <row r="95" spans="1:17" ht="18" customHeight="1" x14ac:dyDescent="0.2">
      <c r="A95" s="47"/>
      <c r="B95" s="47"/>
      <c r="C95" s="47"/>
      <c r="D95" s="47"/>
      <c r="E95" s="47"/>
      <c r="F95" s="47"/>
      <c r="G95" s="47"/>
      <c r="H95" s="47"/>
      <c r="I95" s="47"/>
      <c r="J95" s="47"/>
      <c r="K95" s="54" t="str">
        <f t="shared" si="2"/>
        <v>SFP-Colour_Ko_L_2</v>
      </c>
      <c r="L95" s="41" t="str">
        <f>IF(VLOOKUP(K95,Data!A:H,8,FALSE)=0,"Not Offered",VLOOKUP(K95,Data!A:H,8,FALSE))</f>
        <v>Not Offered</v>
      </c>
      <c r="M95" s="44" t="s">
        <v>440</v>
      </c>
      <c r="N95" s="43" t="s">
        <v>10</v>
      </c>
      <c r="O95" s="44" t="s">
        <v>890</v>
      </c>
      <c r="P95" s="44">
        <v>2</v>
      </c>
      <c r="Q95" s="57"/>
    </row>
    <row r="96" spans="1:17" ht="18" customHeight="1" x14ac:dyDescent="0.2">
      <c r="A96" s="47"/>
      <c r="B96" s="47"/>
      <c r="C96" s="47"/>
      <c r="D96" s="47"/>
      <c r="E96" s="47"/>
      <c r="F96" s="47"/>
      <c r="G96" s="47"/>
      <c r="H96" s="47"/>
      <c r="I96" s="47"/>
      <c r="J96" s="47"/>
      <c r="K96" s="54" t="str">
        <f t="shared" si="2"/>
        <v>SFP-Colour_Ky_L_1</v>
      </c>
      <c r="L96" s="39" t="str">
        <f>IF(VLOOKUP(K96,Data!A:H,8,FALSE)=0,"Not Offered",VLOOKUP(K96,Data!A:H,8,FALSE))</f>
        <v>Not Offered</v>
      </c>
      <c r="M96" s="39" t="s">
        <v>440</v>
      </c>
      <c r="N96" s="42" t="s">
        <v>7</v>
      </c>
      <c r="O96" s="39" t="s">
        <v>890</v>
      </c>
      <c r="P96" s="39">
        <v>1</v>
      </c>
      <c r="Q96" s="52"/>
    </row>
    <row r="97" spans="1:17" ht="18" customHeight="1" x14ac:dyDescent="0.2">
      <c r="A97" s="47"/>
      <c r="B97" s="47"/>
      <c r="C97" s="47"/>
      <c r="D97" s="47"/>
      <c r="E97" s="47"/>
      <c r="F97" s="47"/>
      <c r="G97" s="47"/>
      <c r="H97" s="47"/>
      <c r="I97" s="47"/>
      <c r="J97" s="47"/>
      <c r="K97" s="54" t="str">
        <f t="shared" si="2"/>
        <v>SFP-Colour_Ky_L_2</v>
      </c>
      <c r="L97" s="39" t="str">
        <f>IF(VLOOKUP(K97,Data!A:H,8,FALSE)=0,"Not Offered",VLOOKUP(K97,Data!A:H,8,FALSE))</f>
        <v>Ecosys P5026CDN</v>
      </c>
      <c r="M97" s="39" t="s">
        <v>440</v>
      </c>
      <c r="N97" s="42" t="s">
        <v>7</v>
      </c>
      <c r="O97" s="39" t="s">
        <v>890</v>
      </c>
      <c r="P97" s="39">
        <v>2</v>
      </c>
      <c r="Q97" s="52"/>
    </row>
    <row r="98" spans="1:17" ht="18" customHeight="1" x14ac:dyDescent="0.2">
      <c r="A98" s="47"/>
      <c r="B98" s="47"/>
      <c r="C98" s="47"/>
      <c r="D98" s="47"/>
      <c r="E98" s="47"/>
      <c r="F98" s="47"/>
      <c r="G98" s="47"/>
      <c r="H98" s="47"/>
      <c r="I98" s="47"/>
      <c r="J98" s="47"/>
      <c r="K98" s="54" t="str">
        <f t="shared" ref="K98:K129" si="3">M98&amp;"_"&amp;IF(N98="Fuji Business Innovation","FX",LEFT(N98,2))&amp;"_"&amp;LEFT(O98,1)&amp;"_"&amp;P98</f>
        <v>SFP-Colour_Ri_L_1</v>
      </c>
      <c r="L98" s="39" t="str">
        <f>IF(VLOOKUP(K98,Data!A:H,8,FALSE)=0,"Not Offered",VLOOKUP(K98,Data!A:H,8,FALSE))</f>
        <v>P C311W</v>
      </c>
      <c r="M98" s="39" t="s">
        <v>440</v>
      </c>
      <c r="N98" s="42" t="s">
        <v>8</v>
      </c>
      <c r="O98" s="39" t="s">
        <v>890</v>
      </c>
      <c r="P98" s="39">
        <v>1</v>
      </c>
      <c r="Q98" s="52"/>
    </row>
    <row r="99" spans="1:17" ht="18" customHeight="1" x14ac:dyDescent="0.2">
      <c r="A99" s="47"/>
      <c r="B99" s="47"/>
      <c r="C99" s="47"/>
      <c r="D99" s="47"/>
      <c r="E99" s="47"/>
      <c r="F99" s="47"/>
      <c r="G99" s="47"/>
      <c r="H99" s="47"/>
      <c r="I99" s="47"/>
      <c r="J99" s="47"/>
      <c r="K99" s="54" t="str">
        <f t="shared" si="3"/>
        <v>SFP-Colour_Ri_L_2</v>
      </c>
      <c r="L99" s="39" t="str">
        <f>IF(VLOOKUP(K99,Data!A:H,8,FALSE)=0,"Not Offered",VLOOKUP(K99,Data!A:H,8,FALSE))</f>
        <v>M C251FW</v>
      </c>
      <c r="M99" s="39" t="s">
        <v>440</v>
      </c>
      <c r="N99" s="42" t="s">
        <v>8</v>
      </c>
      <c r="O99" s="39" t="s">
        <v>890</v>
      </c>
      <c r="P99" s="39">
        <v>2</v>
      </c>
      <c r="Q99" s="52"/>
    </row>
    <row r="100" spans="1:17" ht="18" customHeight="1" x14ac:dyDescent="0.2">
      <c r="A100" s="47"/>
      <c r="B100" s="47"/>
      <c r="C100" s="47"/>
      <c r="D100" s="47"/>
      <c r="E100" s="47"/>
      <c r="F100" s="47"/>
      <c r="G100" s="47"/>
      <c r="H100" s="47"/>
      <c r="I100" s="47"/>
      <c r="J100" s="47"/>
      <c r="K100" s="54" t="str">
        <f t="shared" si="3"/>
        <v>SFP-Colour_Ko_M_1</v>
      </c>
      <c r="L100" s="41" t="str">
        <f>IF(VLOOKUP(K100,Data!A:H,8,FALSE)=0,"Not Offered",VLOOKUP(K100,Data!A:H,8,FALSE))</f>
        <v>bizhub C3301i</v>
      </c>
      <c r="M100" s="44" t="s">
        <v>440</v>
      </c>
      <c r="N100" s="43" t="s">
        <v>10</v>
      </c>
      <c r="O100" s="44" t="s">
        <v>891</v>
      </c>
      <c r="P100" s="44">
        <v>1</v>
      </c>
      <c r="Q100" s="57"/>
    </row>
    <row r="101" spans="1:17" ht="18" customHeight="1" x14ac:dyDescent="0.2">
      <c r="A101" s="47"/>
      <c r="B101" s="47"/>
      <c r="C101" s="47"/>
      <c r="D101" s="47"/>
      <c r="E101" s="47"/>
      <c r="F101" s="47"/>
      <c r="G101" s="47"/>
      <c r="H101" s="47"/>
      <c r="I101" s="47"/>
      <c r="J101" s="47"/>
      <c r="K101" s="54" t="str">
        <f t="shared" si="3"/>
        <v>SFP-Colour_Ko_M_2</v>
      </c>
      <c r="L101" s="41" t="str">
        <f>IF(VLOOKUP(K101,Data!A:H,8,FALSE)=0,"Not Offered",VLOOKUP(K101,Data!A:H,8,FALSE))</f>
        <v>Not Offered</v>
      </c>
      <c r="M101" s="44" t="s">
        <v>440</v>
      </c>
      <c r="N101" s="43" t="s">
        <v>10</v>
      </c>
      <c r="O101" s="44" t="s">
        <v>891</v>
      </c>
      <c r="P101" s="44">
        <v>2</v>
      </c>
      <c r="Q101" s="57"/>
    </row>
    <row r="102" spans="1:17" ht="18" customHeight="1" x14ac:dyDescent="0.2">
      <c r="A102" s="47"/>
      <c r="B102" s="47"/>
      <c r="C102" s="47"/>
      <c r="D102" s="47"/>
      <c r="E102" s="47"/>
      <c r="F102" s="47"/>
      <c r="G102" s="47"/>
      <c r="H102" s="47"/>
      <c r="I102" s="47"/>
      <c r="J102" s="47"/>
      <c r="K102" s="54" t="str">
        <f t="shared" si="3"/>
        <v>SFP-Colour_Ky_M_1</v>
      </c>
      <c r="L102" s="39" t="str">
        <f>IF(VLOOKUP(K102,Data!A:H,8,FALSE)=0,"Not Offered",VLOOKUP(K102,Data!A:H,8,FALSE))</f>
        <v>Ecosys PA3500cx</v>
      </c>
      <c r="M102" s="39" t="s">
        <v>440</v>
      </c>
      <c r="N102" s="42" t="s">
        <v>7</v>
      </c>
      <c r="O102" s="39" t="s">
        <v>891</v>
      </c>
      <c r="P102" s="39">
        <v>1</v>
      </c>
      <c r="Q102" s="52"/>
    </row>
    <row r="103" spans="1:17" ht="18" customHeight="1" x14ac:dyDescent="0.2">
      <c r="A103" s="47"/>
      <c r="B103" s="47"/>
      <c r="C103" s="47"/>
      <c r="D103" s="47"/>
      <c r="E103" s="47"/>
      <c r="F103" s="47"/>
      <c r="G103" s="47"/>
      <c r="H103" s="47"/>
      <c r="I103" s="47"/>
      <c r="J103" s="47"/>
      <c r="K103" s="54" t="str">
        <f t="shared" si="3"/>
        <v>SFP-Colour_Ky_M_2</v>
      </c>
      <c r="L103" s="39" t="str">
        <f>IF(VLOOKUP(K103,Data!A:H,8,FALSE)=0,"Not Offered",VLOOKUP(K103,Data!A:H,8,FALSE))</f>
        <v>Not Offered</v>
      </c>
      <c r="M103" s="39" t="s">
        <v>440</v>
      </c>
      <c r="N103" s="42" t="s">
        <v>7</v>
      </c>
      <c r="O103" s="39" t="s">
        <v>891</v>
      </c>
      <c r="P103" s="39">
        <v>2</v>
      </c>
      <c r="Q103" s="52"/>
    </row>
    <row r="104" spans="1:17" ht="18" customHeight="1" x14ac:dyDescent="0.2">
      <c r="A104" s="47"/>
      <c r="B104" s="47"/>
      <c r="C104" s="47"/>
      <c r="D104" s="47"/>
      <c r="E104" s="47"/>
      <c r="F104" s="47"/>
      <c r="G104" s="47"/>
      <c r="H104" s="47"/>
      <c r="I104" s="47"/>
      <c r="J104" s="47"/>
      <c r="K104" s="54" t="str">
        <f t="shared" si="3"/>
        <v>SFP-Colour_Ri_M_1</v>
      </c>
      <c r="L104" s="39" t="str">
        <f>IF(VLOOKUP(K104,Data!A:H,8,FALSE)=0,"Not Offered",VLOOKUP(K104,Data!A:H,8,FALSE))</f>
        <v>Not Offered</v>
      </c>
      <c r="M104" s="39" t="s">
        <v>440</v>
      </c>
      <c r="N104" s="42" t="s">
        <v>8</v>
      </c>
      <c r="O104" s="39" t="s">
        <v>891</v>
      </c>
      <c r="P104" s="39">
        <v>1</v>
      </c>
      <c r="Q104" s="52"/>
    </row>
    <row r="105" spans="1:17" ht="18" customHeight="1" x14ac:dyDescent="0.2">
      <c r="A105" s="47"/>
      <c r="B105" s="47"/>
      <c r="C105" s="47"/>
      <c r="D105" s="47"/>
      <c r="E105" s="47"/>
      <c r="F105" s="47"/>
      <c r="G105" s="47"/>
      <c r="H105" s="47"/>
      <c r="I105" s="47"/>
      <c r="J105" s="47"/>
      <c r="K105" s="54" t="str">
        <f t="shared" si="3"/>
        <v>SFP-Colour_Ri_M_2</v>
      </c>
      <c r="L105" s="41" t="str">
        <f>IF(VLOOKUP(K105,Data!A:H,8,FALSE)=0,"Not Offered",VLOOKUP(K105,Data!A:H,8,FALSE))</f>
        <v>Not Offered</v>
      </c>
      <c r="M105" s="44" t="s">
        <v>440</v>
      </c>
      <c r="N105" s="43" t="s">
        <v>8</v>
      </c>
      <c r="O105" s="44" t="s">
        <v>891</v>
      </c>
      <c r="P105" s="44">
        <v>2</v>
      </c>
      <c r="Q105" s="57"/>
    </row>
    <row r="106" spans="1:17" ht="18" customHeight="1" x14ac:dyDescent="0.2">
      <c r="A106" s="47"/>
      <c r="B106" s="47"/>
      <c r="C106" s="47"/>
      <c r="D106" s="47"/>
      <c r="E106" s="47"/>
      <c r="F106" s="47"/>
      <c r="G106" s="47"/>
      <c r="H106" s="47"/>
      <c r="I106" s="47"/>
      <c r="J106" s="47"/>
      <c r="K106" s="54" t="str">
        <f t="shared" si="3"/>
        <v>SFP-Colour_Ko_H_1</v>
      </c>
      <c r="L106" s="41" t="str">
        <f>IF(VLOOKUP(K106,Data!A:H,8,FALSE)=0,"Not Offered",VLOOKUP(K106,Data!A:H,8,FALSE))</f>
        <v>bizhub C4001i</v>
      </c>
      <c r="M106" s="44" t="s">
        <v>440</v>
      </c>
      <c r="N106" s="43" t="s">
        <v>10</v>
      </c>
      <c r="O106" s="44" t="s">
        <v>892</v>
      </c>
      <c r="P106" s="44">
        <v>1</v>
      </c>
      <c r="Q106" s="57"/>
    </row>
    <row r="107" spans="1:17" ht="18" customHeight="1" x14ac:dyDescent="0.2">
      <c r="A107" s="47"/>
      <c r="B107" s="47"/>
      <c r="C107" s="47"/>
      <c r="D107" s="47"/>
      <c r="E107" s="47"/>
      <c r="F107" s="47"/>
      <c r="G107" s="47"/>
      <c r="H107" s="47"/>
      <c r="I107" s="47"/>
      <c r="J107" s="47"/>
      <c r="K107" s="54" t="str">
        <f t="shared" si="3"/>
        <v>SFP-Colour_Ko_H_2</v>
      </c>
      <c r="L107" s="41" t="str">
        <f>IF(VLOOKUP(K107,Data!A:H,8,FALSE)=0,"Not Offered",VLOOKUP(K107,Data!A:H,8,FALSE))</f>
        <v>Not Offered</v>
      </c>
      <c r="M107" s="44" t="s">
        <v>440</v>
      </c>
      <c r="N107" s="43" t="s">
        <v>10</v>
      </c>
      <c r="O107" s="44" t="s">
        <v>892</v>
      </c>
      <c r="P107" s="44">
        <v>2</v>
      </c>
      <c r="Q107" s="57"/>
    </row>
    <row r="108" spans="1:17" ht="18" customHeight="1" x14ac:dyDescent="0.2">
      <c r="A108" s="47"/>
      <c r="B108" s="47"/>
      <c r="C108" s="47"/>
      <c r="D108" s="47"/>
      <c r="E108" s="47"/>
      <c r="F108" s="47"/>
      <c r="G108" s="47"/>
      <c r="H108" s="47"/>
      <c r="I108" s="47"/>
      <c r="J108" s="47"/>
      <c r="K108" s="54" t="str">
        <f t="shared" si="3"/>
        <v>SFP-Colour_Ky_H_1</v>
      </c>
      <c r="L108" s="39" t="str">
        <f>IF(VLOOKUP(K108,Data!A:H,8,FALSE)=0,"Not Offered",VLOOKUP(K108,Data!A:H,8,FALSE))</f>
        <v>Not Offered</v>
      </c>
      <c r="M108" s="39" t="s">
        <v>440</v>
      </c>
      <c r="N108" s="42" t="s">
        <v>7</v>
      </c>
      <c r="O108" s="39" t="s">
        <v>892</v>
      </c>
      <c r="P108" s="39">
        <v>1</v>
      </c>
      <c r="Q108" s="52"/>
    </row>
    <row r="109" spans="1:17" ht="18" customHeight="1" x14ac:dyDescent="0.2">
      <c r="A109" s="47"/>
      <c r="B109" s="47"/>
      <c r="C109" s="47"/>
      <c r="D109" s="47"/>
      <c r="E109" s="47"/>
      <c r="F109" s="47"/>
      <c r="G109" s="47"/>
      <c r="H109" s="47"/>
      <c r="I109" s="47"/>
      <c r="J109" s="47"/>
      <c r="K109" s="54" t="str">
        <f t="shared" si="3"/>
        <v>SFP-Colour_Ky_H_2</v>
      </c>
      <c r="L109" s="39" t="str">
        <f>IF(VLOOKUP(K109,Data!A:H,8,FALSE)=0,"Not Offered",VLOOKUP(K109,Data!A:H,8,FALSE))</f>
        <v>Ecosys PA4000cx</v>
      </c>
      <c r="M109" s="39" t="s">
        <v>440</v>
      </c>
      <c r="N109" s="42" t="s">
        <v>7</v>
      </c>
      <c r="O109" s="39" t="s">
        <v>892</v>
      </c>
      <c r="P109" s="39">
        <v>2</v>
      </c>
      <c r="Q109" s="52"/>
    </row>
    <row r="110" spans="1:17" ht="18" customHeight="1" x14ac:dyDescent="0.2">
      <c r="A110" s="47"/>
      <c r="B110" s="47"/>
      <c r="C110" s="47"/>
      <c r="D110" s="47"/>
      <c r="E110" s="47"/>
      <c r="F110" s="47"/>
      <c r="G110" s="47"/>
      <c r="H110" s="47"/>
      <c r="I110" s="47"/>
      <c r="J110" s="47"/>
      <c r="K110" s="54" t="str">
        <f t="shared" si="3"/>
        <v>SFP-Colour_Ri_H_1</v>
      </c>
      <c r="L110" s="39" t="str">
        <f>IF(VLOOKUP(K110,Data!A:H,8,FALSE)=0,"Not Offered",VLOOKUP(K110,Data!A:H,8,FALSE))</f>
        <v>P C600</v>
      </c>
      <c r="M110" s="39" t="s">
        <v>440</v>
      </c>
      <c r="N110" s="42" t="s">
        <v>8</v>
      </c>
      <c r="O110" s="39" t="s">
        <v>892</v>
      </c>
      <c r="P110" s="39">
        <v>1</v>
      </c>
      <c r="Q110" s="52"/>
    </row>
    <row r="111" spans="1:17" ht="18" customHeight="1" x14ac:dyDescent="0.2">
      <c r="A111" s="47"/>
      <c r="B111" s="47"/>
      <c r="C111" s="47"/>
      <c r="D111" s="47"/>
      <c r="E111" s="47"/>
      <c r="F111" s="47"/>
      <c r="G111" s="47"/>
      <c r="H111" s="47"/>
      <c r="I111" s="47"/>
      <c r="J111" s="47"/>
      <c r="K111" s="54" t="str">
        <f t="shared" si="3"/>
        <v>SFP-Colour_Ri_H_2</v>
      </c>
      <c r="L111" s="39" t="str">
        <f>IF(VLOOKUP(K111,Data!A:H,8,FALSE)=0,"Not Offered",VLOOKUP(K111,Data!A:H,8,FALSE))</f>
        <v>SPC840DN</v>
      </c>
      <c r="M111" s="39" t="s">
        <v>440</v>
      </c>
      <c r="N111" s="42" t="s">
        <v>8</v>
      </c>
      <c r="O111" s="39" t="s">
        <v>892</v>
      </c>
      <c r="P111" s="39">
        <v>2</v>
      </c>
      <c r="Q111" s="52"/>
    </row>
    <row r="112" spans="1:17" ht="18" customHeight="1" x14ac:dyDescent="0.2">
      <c r="A112" s="47"/>
      <c r="B112" s="47"/>
      <c r="C112" s="47"/>
      <c r="D112" s="47"/>
      <c r="E112" s="47"/>
      <c r="F112" s="47"/>
      <c r="G112" s="47"/>
      <c r="H112" s="47"/>
      <c r="I112" s="47"/>
      <c r="J112" s="47"/>
      <c r="K112" s="54" t="str">
        <f t="shared" si="3"/>
        <v>SFP-BW_Ko_L_1</v>
      </c>
      <c r="L112" s="41" t="str">
        <f>IF(VLOOKUP(K112,Data!A:H,8,FALSE)=0,"Not Offered",VLOOKUP(K112,Data!A:H,8,FALSE))</f>
        <v>Not Offered</v>
      </c>
      <c r="M112" s="39" t="s">
        <v>436</v>
      </c>
      <c r="N112" s="42" t="s">
        <v>10</v>
      </c>
      <c r="O112" s="49" t="s">
        <v>890</v>
      </c>
      <c r="P112" s="49">
        <v>1</v>
      </c>
      <c r="Q112" s="52"/>
    </row>
    <row r="113" spans="1:17" ht="18" customHeight="1" x14ac:dyDescent="0.2">
      <c r="A113" s="47"/>
      <c r="B113" s="47"/>
      <c r="C113" s="47"/>
      <c r="D113" s="47"/>
      <c r="E113" s="47"/>
      <c r="F113" s="47"/>
      <c r="G113" s="47"/>
      <c r="H113" s="47"/>
      <c r="I113" s="47"/>
      <c r="J113" s="47"/>
      <c r="K113" s="54" t="str">
        <f t="shared" si="3"/>
        <v>SFP-BW_Ko_L_2</v>
      </c>
      <c r="L113" s="41" t="str">
        <f>IF(VLOOKUP(K113,Data!A:H,8,FALSE)=0,"Not Offered",VLOOKUP(K113,Data!A:H,8,FALSE))</f>
        <v>Not Offered</v>
      </c>
      <c r="M113" s="44" t="s">
        <v>436</v>
      </c>
      <c r="N113" s="43" t="s">
        <v>10</v>
      </c>
      <c r="O113" s="44" t="s">
        <v>890</v>
      </c>
      <c r="P113" s="44">
        <v>2</v>
      </c>
      <c r="Q113" s="57"/>
    </row>
    <row r="114" spans="1:17" ht="18" customHeight="1" x14ac:dyDescent="0.2">
      <c r="A114" s="47"/>
      <c r="B114" s="47"/>
      <c r="C114" s="47"/>
      <c r="D114" s="47"/>
      <c r="E114" s="47"/>
      <c r="F114" s="47"/>
      <c r="G114" s="47"/>
      <c r="H114" s="47"/>
      <c r="I114" s="47"/>
      <c r="J114" s="47"/>
      <c r="K114" s="54" t="str">
        <f t="shared" si="3"/>
        <v>SFP-BW_Ky_L_1</v>
      </c>
      <c r="L114" s="41" t="str">
        <f>IF(VLOOKUP(K114,Data!A:H,8,FALSE)=0,"Not Offered",VLOOKUP(K114,Data!A:H,8,FALSE))</f>
        <v>Not Offered</v>
      </c>
      <c r="M114" s="44" t="s">
        <v>436</v>
      </c>
      <c r="N114" s="43" t="s">
        <v>7</v>
      </c>
      <c r="O114" s="44" t="s">
        <v>890</v>
      </c>
      <c r="P114" s="44">
        <v>1</v>
      </c>
      <c r="Q114" s="57"/>
    </row>
    <row r="115" spans="1:17" ht="18" customHeight="1" x14ac:dyDescent="0.2">
      <c r="A115" s="47"/>
      <c r="B115" s="47"/>
      <c r="C115" s="47"/>
      <c r="D115" s="47"/>
      <c r="E115" s="47"/>
      <c r="F115" s="47"/>
      <c r="G115" s="47"/>
      <c r="H115" s="47"/>
      <c r="I115" s="47"/>
      <c r="J115" s="47"/>
      <c r="K115" s="54" t="str">
        <f t="shared" si="3"/>
        <v>SFP-BW_Ky_L_2</v>
      </c>
      <c r="L115" s="41" t="str">
        <f>IF(VLOOKUP(K115,Data!A:H,8,FALSE)=0,"Not Offered",VLOOKUP(K115,Data!A:H,8,FALSE))</f>
        <v>Not Offered</v>
      </c>
      <c r="M115" s="44" t="s">
        <v>436</v>
      </c>
      <c r="N115" s="43" t="s">
        <v>7</v>
      </c>
      <c r="O115" s="44" t="s">
        <v>890</v>
      </c>
      <c r="P115" s="44">
        <v>2</v>
      </c>
      <c r="Q115" s="57"/>
    </row>
    <row r="116" spans="1:17" ht="18" customHeight="1" x14ac:dyDescent="0.2">
      <c r="A116" s="47"/>
      <c r="B116" s="47"/>
      <c r="C116" s="47"/>
      <c r="D116" s="47"/>
      <c r="E116" s="47"/>
      <c r="F116" s="47"/>
      <c r="G116" s="47"/>
      <c r="H116" s="47"/>
      <c r="I116" s="47"/>
      <c r="J116" s="47"/>
      <c r="K116" s="54" t="str">
        <f t="shared" si="3"/>
        <v>SFP-BW_Ri_L_1</v>
      </c>
      <c r="L116" s="39" t="str">
        <f>IF(VLOOKUP(K116,Data!A:H,8,FALSE)=0,"Not Offered",VLOOKUP(K116,Data!A:H,8,FALSE))</f>
        <v>P 311</v>
      </c>
      <c r="M116" s="39" t="s">
        <v>436</v>
      </c>
      <c r="N116" s="42" t="s">
        <v>8</v>
      </c>
      <c r="O116" s="39" t="s">
        <v>890</v>
      </c>
      <c r="P116" s="39">
        <v>1</v>
      </c>
      <c r="Q116" s="52"/>
    </row>
    <row r="117" spans="1:17" ht="18" customHeight="1" x14ac:dyDescent="0.2">
      <c r="A117" s="47"/>
      <c r="B117" s="47"/>
      <c r="C117" s="47"/>
      <c r="D117" s="47"/>
      <c r="E117" s="47"/>
      <c r="F117" s="47"/>
      <c r="G117" s="47"/>
      <c r="H117" s="47"/>
      <c r="I117" s="47"/>
      <c r="J117" s="47"/>
      <c r="K117" s="54" t="str">
        <f t="shared" si="3"/>
        <v>SFP-BW_Ri_L_2</v>
      </c>
      <c r="L117" s="41" t="str">
        <f>IF(VLOOKUP(K117,Data!A:H,8,FALSE)=0,"Not Offered",VLOOKUP(K117,Data!A:H,8,FALSE))</f>
        <v>Not Offered</v>
      </c>
      <c r="M117" s="44" t="s">
        <v>436</v>
      </c>
      <c r="N117" s="43" t="s">
        <v>8</v>
      </c>
      <c r="O117" s="44" t="s">
        <v>890</v>
      </c>
      <c r="P117" s="44">
        <v>2</v>
      </c>
      <c r="Q117" s="57"/>
    </row>
    <row r="118" spans="1:17" ht="18" customHeight="1" x14ac:dyDescent="0.2">
      <c r="A118" s="47"/>
      <c r="B118" s="47"/>
      <c r="C118" s="47"/>
      <c r="D118" s="47"/>
      <c r="E118" s="47"/>
      <c r="F118" s="47"/>
      <c r="G118" s="47"/>
      <c r="H118" s="47"/>
      <c r="I118" s="47"/>
      <c r="J118" s="47"/>
      <c r="K118" s="54" t="str">
        <f t="shared" si="3"/>
        <v>SFP-BW_Ko_M_1</v>
      </c>
      <c r="L118" s="39" t="str">
        <f>IF(VLOOKUP(K118,Data!A:H,8,FALSE)=0,"Not Offered",VLOOKUP(K118,Data!A:H,8,FALSE))</f>
        <v>Not Offered</v>
      </c>
      <c r="M118" s="39" t="s">
        <v>436</v>
      </c>
      <c r="N118" s="42" t="s">
        <v>10</v>
      </c>
      <c r="O118" s="39" t="s">
        <v>891</v>
      </c>
      <c r="P118" s="39">
        <v>1</v>
      </c>
      <c r="Q118" s="52"/>
    </row>
    <row r="119" spans="1:17" ht="18" customHeight="1" x14ac:dyDescent="0.2">
      <c r="A119" s="47"/>
      <c r="B119" s="47"/>
      <c r="C119" s="47"/>
      <c r="D119" s="47"/>
      <c r="E119" s="47"/>
      <c r="F119" s="47"/>
      <c r="G119" s="47"/>
      <c r="H119" s="47"/>
      <c r="I119" s="47"/>
      <c r="J119" s="47"/>
      <c r="K119" s="54" t="str">
        <f t="shared" si="3"/>
        <v>SFP-BW_Ko_M_2</v>
      </c>
      <c r="L119" s="41" t="str">
        <f>IF(VLOOKUP(K119,Data!A:H,8,FALSE)=0,"Not Offered",VLOOKUP(K119,Data!A:H,8,FALSE))</f>
        <v>Not Offered</v>
      </c>
      <c r="M119" s="44" t="s">
        <v>436</v>
      </c>
      <c r="N119" s="43" t="s">
        <v>10</v>
      </c>
      <c r="O119" s="44" t="s">
        <v>891</v>
      </c>
      <c r="P119" s="44">
        <v>2</v>
      </c>
      <c r="Q119" s="57"/>
    </row>
    <row r="120" spans="1:17" ht="18" customHeight="1" x14ac:dyDescent="0.2">
      <c r="A120" s="47"/>
      <c r="B120" s="47"/>
      <c r="C120" s="47"/>
      <c r="D120" s="47"/>
      <c r="E120" s="47"/>
      <c r="F120" s="47"/>
      <c r="G120" s="47"/>
      <c r="H120" s="47"/>
      <c r="I120" s="47"/>
      <c r="J120" s="47"/>
      <c r="K120" s="54" t="str">
        <f t="shared" si="3"/>
        <v>SFP-BW_Ky_M_1</v>
      </c>
      <c r="L120" s="39" t="str">
        <f>IF(VLOOKUP(K120,Data!A:H,8,FALSE)=0,"Not Offered",VLOOKUP(K120,Data!A:H,8,FALSE))</f>
        <v>Ecosys P2235dn</v>
      </c>
      <c r="M120" s="39" t="s">
        <v>436</v>
      </c>
      <c r="N120" s="42" t="s">
        <v>7</v>
      </c>
      <c r="O120" s="39" t="s">
        <v>891</v>
      </c>
      <c r="P120" s="39">
        <v>1</v>
      </c>
      <c r="Q120" s="52"/>
    </row>
    <row r="121" spans="1:17" ht="18" customHeight="1" x14ac:dyDescent="0.2">
      <c r="A121" s="47"/>
      <c r="B121" s="47"/>
      <c r="C121" s="47"/>
      <c r="D121" s="47"/>
      <c r="E121" s="47"/>
      <c r="F121" s="47"/>
      <c r="G121" s="47"/>
      <c r="H121" s="47"/>
      <c r="I121" s="47"/>
      <c r="J121" s="47"/>
      <c r="K121" s="54" t="str">
        <f t="shared" si="3"/>
        <v>SFP-BW_Ky_M_2</v>
      </c>
      <c r="L121" s="39" t="str">
        <f>IF(VLOOKUP(K121,Data!A:H,8,FALSE)=0,"Not Offered",VLOOKUP(K121,Data!A:H,8,FALSE))</f>
        <v>Ecosys P2235DW</v>
      </c>
      <c r="M121" s="39" t="s">
        <v>436</v>
      </c>
      <c r="N121" s="42" t="s">
        <v>7</v>
      </c>
      <c r="O121" s="39" t="s">
        <v>891</v>
      </c>
      <c r="P121" s="39">
        <v>2</v>
      </c>
      <c r="Q121" s="52"/>
    </row>
    <row r="122" spans="1:17" ht="18" customHeight="1" x14ac:dyDescent="0.2">
      <c r="A122" s="47"/>
      <c r="B122" s="47"/>
      <c r="C122" s="47"/>
      <c r="D122" s="47"/>
      <c r="E122" s="47"/>
      <c r="F122" s="47"/>
      <c r="G122" s="47"/>
      <c r="H122" s="47"/>
      <c r="I122" s="47"/>
      <c r="J122" s="47"/>
      <c r="K122" s="54" t="str">
        <f t="shared" si="3"/>
        <v>SFP-BW_Ri_M_1</v>
      </c>
      <c r="L122" s="39" t="str">
        <f>IF(VLOOKUP(K122,Data!A:H,8,FALSE)=0,"Not Offered",VLOOKUP(K122,Data!A:H,8,FALSE))</f>
        <v>SP6430DN</v>
      </c>
      <c r="M122" s="39" t="s">
        <v>436</v>
      </c>
      <c r="N122" s="42" t="s">
        <v>8</v>
      </c>
      <c r="O122" s="39" t="s">
        <v>891</v>
      </c>
      <c r="P122" s="39">
        <v>1</v>
      </c>
      <c r="Q122" s="52"/>
    </row>
    <row r="123" spans="1:17" ht="18" customHeight="1" x14ac:dyDescent="0.2">
      <c r="A123" s="47"/>
      <c r="B123" s="47"/>
      <c r="C123" s="47"/>
      <c r="D123" s="47"/>
      <c r="E123" s="47"/>
      <c r="F123" s="47"/>
      <c r="G123" s="47"/>
      <c r="H123" s="47"/>
      <c r="I123" s="47"/>
      <c r="J123" s="47"/>
      <c r="K123" s="54" t="str">
        <f t="shared" si="3"/>
        <v>SFP-BW_Ri_M_2</v>
      </c>
      <c r="L123" s="39" t="str">
        <f>IF(VLOOKUP(K123,Data!A:H,8,FALSE)=0,"Not Offered",VLOOKUP(K123,Data!A:H,8,FALSE))</f>
        <v>Not Offered</v>
      </c>
      <c r="M123" s="39" t="s">
        <v>436</v>
      </c>
      <c r="N123" s="42" t="s">
        <v>8</v>
      </c>
      <c r="O123" s="39" t="s">
        <v>891</v>
      </c>
      <c r="P123" s="39">
        <v>2</v>
      </c>
      <c r="Q123" s="52"/>
    </row>
    <row r="124" spans="1:17" ht="18" customHeight="1" x14ac:dyDescent="0.2">
      <c r="A124" s="47"/>
      <c r="B124" s="47"/>
      <c r="C124" s="47"/>
      <c r="D124" s="47"/>
      <c r="E124" s="47"/>
      <c r="F124" s="47"/>
      <c r="G124" s="47"/>
      <c r="H124" s="47"/>
      <c r="I124" s="47"/>
      <c r="J124" s="47"/>
      <c r="K124" s="54" t="str">
        <f t="shared" si="3"/>
        <v>SFP-BW_Ko_H_1</v>
      </c>
      <c r="L124" s="39" t="str">
        <f>IF(VLOOKUP(K124,Data!A:H,8,FALSE)=0,"Not Offered",VLOOKUP(K124,Data!A:H,8,FALSE))</f>
        <v>bizhub 5000i</v>
      </c>
      <c r="M124" s="39" t="s">
        <v>436</v>
      </c>
      <c r="N124" s="42" t="s">
        <v>10</v>
      </c>
      <c r="O124" s="39" t="s">
        <v>892</v>
      </c>
      <c r="P124" s="39">
        <v>1</v>
      </c>
      <c r="Q124" s="52"/>
    </row>
    <row r="125" spans="1:17" ht="18" customHeight="1" x14ac:dyDescent="0.2">
      <c r="A125" s="47"/>
      <c r="B125" s="47"/>
      <c r="C125" s="47"/>
      <c r="D125" s="47"/>
      <c r="E125" s="47"/>
      <c r="F125" s="47"/>
      <c r="G125" s="47"/>
      <c r="H125" s="47"/>
      <c r="I125" s="47"/>
      <c r="J125" s="47"/>
      <c r="K125" s="54" t="str">
        <f t="shared" si="3"/>
        <v>SFP-BW_Ko_H_2</v>
      </c>
      <c r="L125" s="39" t="str">
        <f>IF(VLOOKUP(K125,Data!A:H,8,FALSE)=0,"Not Offered",VLOOKUP(K125,Data!A:H,8,FALSE))</f>
        <v>bizhub 4000i</v>
      </c>
      <c r="M125" s="39" t="s">
        <v>436</v>
      </c>
      <c r="N125" s="42" t="s">
        <v>10</v>
      </c>
      <c r="O125" s="39" t="s">
        <v>892</v>
      </c>
      <c r="P125" s="39">
        <v>2</v>
      </c>
      <c r="Q125" s="52"/>
    </row>
    <row r="126" spans="1:17" ht="18" customHeight="1" x14ac:dyDescent="0.2">
      <c r="A126" s="47"/>
      <c r="B126" s="47"/>
      <c r="C126" s="47"/>
      <c r="D126" s="47"/>
      <c r="E126" s="47"/>
      <c r="F126" s="47"/>
      <c r="G126" s="47"/>
      <c r="H126" s="47"/>
      <c r="I126" s="47"/>
      <c r="J126" s="47"/>
      <c r="K126" s="54" t="str">
        <f t="shared" si="3"/>
        <v>SFP-BW_Ky_H_1</v>
      </c>
      <c r="L126" s="39" t="str">
        <f>IF(VLOOKUP(K126,Data!A:H,8,FALSE)=0,"Not Offered",VLOOKUP(K126,Data!A:H,8,FALSE))</f>
        <v>Ecosys P2040DN</v>
      </c>
      <c r="M126" s="39" t="s">
        <v>436</v>
      </c>
      <c r="N126" s="42" t="s">
        <v>7</v>
      </c>
      <c r="O126" s="39" t="s">
        <v>892</v>
      </c>
      <c r="P126" s="39">
        <v>1</v>
      </c>
      <c r="Q126" s="52"/>
    </row>
    <row r="127" spans="1:17" ht="18" customHeight="1" x14ac:dyDescent="0.2">
      <c r="A127" s="47"/>
      <c r="B127" s="47"/>
      <c r="C127" s="47"/>
      <c r="D127" s="47"/>
      <c r="E127" s="47"/>
      <c r="F127" s="47"/>
      <c r="G127" s="47"/>
      <c r="H127" s="47"/>
      <c r="I127" s="47"/>
      <c r="J127" s="47"/>
      <c r="K127" s="54" t="str">
        <f t="shared" si="3"/>
        <v>SFP-BW_Ky_H_2</v>
      </c>
      <c r="L127" s="39" t="str">
        <f>IF(VLOOKUP(K127,Data!A:H,8,FALSE)=0,"Not Offered",VLOOKUP(K127,Data!A:H,8,FALSE))</f>
        <v>Ecosys PA 4500X</v>
      </c>
      <c r="M127" s="39" t="s">
        <v>436</v>
      </c>
      <c r="N127" s="42" t="s">
        <v>7</v>
      </c>
      <c r="O127" s="39" t="s">
        <v>892</v>
      </c>
      <c r="P127" s="39">
        <v>2</v>
      </c>
      <c r="Q127" s="52"/>
    </row>
    <row r="128" spans="1:17" ht="18" customHeight="1" x14ac:dyDescent="0.2">
      <c r="A128" s="47"/>
      <c r="B128" s="47"/>
      <c r="C128" s="47"/>
      <c r="D128" s="47"/>
      <c r="E128" s="47"/>
      <c r="F128" s="47"/>
      <c r="G128" s="47"/>
      <c r="H128" s="47"/>
      <c r="I128" s="47"/>
      <c r="J128" s="47"/>
      <c r="K128" s="54" t="str">
        <f t="shared" si="3"/>
        <v>SFP-BW_Ri_H_1</v>
      </c>
      <c r="L128" s="39" t="str">
        <f>IF(VLOOKUP(K128,Data!A:H,8,FALSE)=0,"Not Offered",VLOOKUP(K128,Data!A:H,8,FALSE))</f>
        <v>P 502</v>
      </c>
      <c r="M128" s="39" t="s">
        <v>436</v>
      </c>
      <c r="N128" s="42" t="s">
        <v>8</v>
      </c>
      <c r="O128" s="39" t="s">
        <v>892</v>
      </c>
      <c r="P128" s="39">
        <v>1</v>
      </c>
      <c r="Q128" s="52"/>
    </row>
    <row r="129" spans="1:17" ht="18" customHeight="1" x14ac:dyDescent="0.2">
      <c r="A129" s="47"/>
      <c r="B129" s="47"/>
      <c r="C129" s="47"/>
      <c r="D129" s="47"/>
      <c r="E129" s="47"/>
      <c r="F129" s="47"/>
      <c r="G129" s="47"/>
      <c r="H129" s="47"/>
      <c r="I129" s="47"/>
      <c r="J129" s="47"/>
      <c r="K129" s="54" t="str">
        <f t="shared" si="3"/>
        <v>SFP-BW_Ri_H_2</v>
      </c>
      <c r="L129" s="39" t="str">
        <f>IF(VLOOKUP(K129,Data!A:H,8,FALSE)=0,"Not Offered",VLOOKUP(K129,Data!A:H,8,FALSE))</f>
        <v>P 800</v>
      </c>
      <c r="M129" s="39" t="s">
        <v>436</v>
      </c>
      <c r="N129" s="42" t="s">
        <v>8</v>
      </c>
      <c r="O129" s="39" t="s">
        <v>892</v>
      </c>
      <c r="P129" s="39">
        <v>2</v>
      </c>
      <c r="Q129" s="52"/>
    </row>
  </sheetData>
  <autoFilter ref="A1:P129" xr:uid="{00000000-0009-0000-0000-00000D000000}"/>
  <sortState xmlns:xlrd2="http://schemas.microsoft.com/office/spreadsheetml/2017/richdata2" ref="M2:S129">
    <sortCondition ref="O2:O129"/>
    <sortCondition ref="N2:N129"/>
    <sortCondition ref="P2:P129"/>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9" tint="0.39997558519241921"/>
  </sheetPr>
  <dimension ref="A1:O129"/>
  <sheetViews>
    <sheetView workbookViewId="0">
      <selection sqref="A1:N1"/>
    </sheetView>
  </sheetViews>
  <sheetFormatPr defaultRowHeight="18" customHeight="1" x14ac:dyDescent="0.2"/>
  <cols>
    <col min="1" max="1" width="12.7109375" style="38" customWidth="1"/>
    <col min="2" max="2" width="28.42578125" style="55" customWidth="1"/>
    <col min="3" max="3" width="18.85546875" customWidth="1"/>
    <col min="4" max="4" width="15" customWidth="1"/>
    <col min="5" max="5" width="15.140625" customWidth="1"/>
    <col min="8" max="8" width="12.28515625" customWidth="1"/>
    <col min="9" max="9" width="15.28515625" customWidth="1"/>
    <col min="10" max="10" width="11.140625" customWidth="1"/>
    <col min="11" max="12" width="12.5703125" customWidth="1"/>
    <col min="13" max="13" width="14.7109375" style="38" customWidth="1"/>
    <col min="14" max="14" width="14.5703125" style="38" customWidth="1"/>
    <col min="15" max="15" width="14.7109375" style="38" customWidth="1"/>
  </cols>
  <sheetData>
    <row r="1" spans="1:15" ht="28.5" customHeight="1" x14ac:dyDescent="0.2">
      <c r="A1" s="158" t="s">
        <v>1733</v>
      </c>
      <c r="B1" s="157" t="s">
        <v>331</v>
      </c>
      <c r="C1" s="158" t="s">
        <v>906</v>
      </c>
      <c r="D1" s="158" t="s">
        <v>4</v>
      </c>
      <c r="E1" s="158" t="s">
        <v>16</v>
      </c>
      <c r="F1" s="158" t="s">
        <v>41</v>
      </c>
      <c r="G1" s="158" t="s">
        <v>332</v>
      </c>
      <c r="H1" s="158" t="s">
        <v>1725</v>
      </c>
      <c r="I1" s="158" t="s">
        <v>2057</v>
      </c>
      <c r="J1" s="158" t="s">
        <v>1727</v>
      </c>
      <c r="K1" s="158" t="s">
        <v>1726</v>
      </c>
      <c r="L1" s="158" t="s">
        <v>1730</v>
      </c>
      <c r="M1" s="158" t="s">
        <v>1728</v>
      </c>
      <c r="N1" s="158" t="s">
        <v>1729</v>
      </c>
      <c r="O1" s="158" t="s">
        <v>66</v>
      </c>
    </row>
    <row r="2" spans="1:15" ht="18" customHeight="1" x14ac:dyDescent="0.2">
      <c r="A2" s="209" t="e">
        <f>IF(O2="","",IF(AND(tco_data!D2&lt;&gt;'Lowest TCO'!H$3,'Lowest TCO'!H$3&lt;&gt;"All"),"",IF(ISNA(RANK(tco_data!O2,tco_data!O$2:O$129)),"",RANK(tco_data!O2,tco_data!O$2:O$129,1))))</f>
        <v>#N/A</v>
      </c>
      <c r="B2" s="161" t="str">
        <f>D2&amp;" "&amp;F2&amp;" "&amp;E2</f>
        <v>MFD-Colour Entry Fuji Business Innovation</v>
      </c>
      <c r="C2" s="40" t="e">
        <f>Lists!L2</f>
        <v>#N/A</v>
      </c>
      <c r="D2" s="40" t="str">
        <f>Lists!M2</f>
        <v>MFD-Colour</v>
      </c>
      <c r="E2" s="40" t="str">
        <f>Lists!N2</f>
        <v>Fuji Business Innovation</v>
      </c>
      <c r="F2" s="40" t="str">
        <f>Lists!O2</f>
        <v>Entry</v>
      </c>
      <c r="G2" s="40">
        <v>1</v>
      </c>
      <c r="H2" s="159" t="e">
        <f>IF(C2="Not Offered","",VLOOKUP(C2,Data!$H:$BB,5,FALSE))</f>
        <v>#N/A</v>
      </c>
      <c r="I2" s="159" t="e">
        <f>IF(C2="Not Offered","",IF('Lowest TCO'!$B$3="Zone 1 (Perth Metro)",0,VLOOKUP($C2,Data!$H:$BG,43+(MATCH('Lowest TCO'!$B$3,Locations,0)),FALSE)))</f>
        <v>#N/A</v>
      </c>
      <c r="J2" s="28" t="e">
        <f>IF(C2="Not Offered","",VLOOKUP($C2,Data!$H:$AL,4+2*(MATCH('Lowest TCO'!$B$3,Locations,0)),FALSE))</f>
        <v>#N/A</v>
      </c>
      <c r="K2" s="28" t="e">
        <f>IF(C2="Not Offered","",VLOOKUP($C2,Data!$H:$AL,5+2*(MATCH('Lowest TCO'!$B$3,Locations,0)),FALSE))</f>
        <v>#N/A</v>
      </c>
      <c r="L2" s="160" t="e">
        <f>IF(H2="","",ROUNDUP(('Lowest TCO'!$D$3*5)/(VLOOKUP(tco_data!$C2,Data!$H:$J,3,FALSE)),0)*tco_data!$H2)</f>
        <v>#N/A</v>
      </c>
      <c r="M2" s="210" t="e">
        <f>IF(OR(H2="",J2="N/A"),"",(5*J2*('Lowest TCO'!$D$3*(IF(RIGHT(D2,2)="BW",1,1-'Lowest TCO'!$F$3)))))</f>
        <v>#N/A</v>
      </c>
      <c r="N2" s="210" t="e">
        <f>IF(OR(H2="",K2="N/A"),"",(5*K2*('Lowest TCO'!$D$3*('Lowest TCO'!$F$3))))</f>
        <v>#N/A</v>
      </c>
      <c r="O2" s="210" t="e">
        <f>IF(L2="","",IF(AND('Lowest TCO'!$H$3&lt;&gt;"All",'Lowest TCO'!$H$3&lt;&gt;tco_data!D2),"",IF(J2="N/A","",IF(AND(RIGHT($D2,2)="BW",'Lowest TCO'!$H$3=0),"",SUM(L2:N2)+I2))))</f>
        <v>#N/A</v>
      </c>
    </row>
    <row r="3" spans="1:15" ht="18" customHeight="1" x14ac:dyDescent="0.2">
      <c r="A3" s="209" t="e">
        <f>IF(O3="","",IF(AND(tco_data!D3&lt;&gt;'Lowest TCO'!H$3,'Lowest TCO'!H$3&lt;&gt;"All"),"",IF(ISNA(RANK(tco_data!O3,tco_data!O$2:O$129)),"",RANK(tco_data!O3,tco_data!O$2:O$129,1))))</f>
        <v>#N/A</v>
      </c>
      <c r="B3" s="161" t="str">
        <f>D3&amp;" "&amp;F3&amp;" "&amp;E3</f>
        <v>MFD-Colour Entry Fuji Business Innovation</v>
      </c>
      <c r="C3" s="40" t="e">
        <f>Lists!L3</f>
        <v>#N/A</v>
      </c>
      <c r="D3" s="40" t="str">
        <f>Lists!M3</f>
        <v>MFD-Colour</v>
      </c>
      <c r="E3" s="40" t="str">
        <f>Lists!N3</f>
        <v>Fuji Business Innovation</v>
      </c>
      <c r="F3" s="40" t="str">
        <f>Lists!O3</f>
        <v>Entry</v>
      </c>
      <c r="G3" s="40">
        <v>2</v>
      </c>
      <c r="H3" s="159" t="e">
        <f>IF(C3="Not Offered","",VLOOKUP(C3,Data!$H:$BB,5,FALSE))</f>
        <v>#N/A</v>
      </c>
      <c r="I3" s="159" t="e">
        <f>IF(C3="Not Offered","",IF('Lowest TCO'!$B$3="Zone 1 (Perth Metro)",0,VLOOKUP($C3,Data!$H:$BG,43+(MATCH('Lowest TCO'!$B$3,Locations,0)),FALSE)))</f>
        <v>#N/A</v>
      </c>
      <c r="J3" s="28" t="e">
        <f>IF(C3="Not Offered","",VLOOKUP($C3,Data!$H:$AL,4+2*(MATCH('Lowest TCO'!$B$3,Locations,0)),FALSE))</f>
        <v>#N/A</v>
      </c>
      <c r="K3" s="28" t="e">
        <f>IF(C3="Not Offered","",VLOOKUP($C3,Data!$H:$AL,5+2*(MATCH('Lowest TCO'!$B$3,Locations,0)),FALSE))</f>
        <v>#N/A</v>
      </c>
      <c r="L3" s="160" t="e">
        <f>IF(H3="","",ROUNDUP(('Lowest TCO'!$D$3*5)/(VLOOKUP(tco_data!$C3,Data!$H:$J,3,FALSE)),0)*tco_data!$H3)</f>
        <v>#N/A</v>
      </c>
      <c r="M3" s="210" t="e">
        <f>IF(OR(H3="",J3="N/A"),"",(5*J3*('Lowest TCO'!$D$3*(IF(RIGHT(D3,2)="BW",1,1-'Lowest TCO'!$F$3)))))</f>
        <v>#N/A</v>
      </c>
      <c r="N3" s="210" t="e">
        <f>IF(OR(H3="",K3="N/A"),"",(5*K3*('Lowest TCO'!$D$3*('Lowest TCO'!$F$3))))</f>
        <v>#N/A</v>
      </c>
      <c r="O3" s="210" t="e">
        <f>IF(L3="","",IF(AND('Lowest TCO'!$H$3&lt;&gt;"All",'Lowest TCO'!$H$3&lt;&gt;tco_data!D3),"",IF(J3="N/A","",IF(AND(RIGHT($D3,2)="BW",'Lowest TCO'!$H$3=0),"",SUM(L3:N3)+I3))))</f>
        <v>#N/A</v>
      </c>
    </row>
    <row r="4" spans="1:15" ht="18" customHeight="1" x14ac:dyDescent="0.2">
      <c r="A4" s="209" t="str">
        <f>IF(O4="","",IF(AND(tco_data!D4&lt;&gt;'Lowest TCO'!H$3,'Lowest TCO'!H$3&lt;&gt;"All"),"",IF(ISNA(RANK(tco_data!O4,tco_data!O$2:O$129)),"",RANK(tco_data!O4,tco_data!O$2:O$129,1))))</f>
        <v/>
      </c>
      <c r="B4" s="161" t="str">
        <f t="shared" ref="B4:B66" si="0">D4&amp;" "&amp;F4&amp;" "&amp;E4</f>
        <v>MFD-Colour Entry Konica Minolta</v>
      </c>
      <c r="C4" s="40" t="str">
        <f>Lists!L4</f>
        <v>bizhub C227i</v>
      </c>
      <c r="D4" s="39" t="str">
        <f>Lists!M4</f>
        <v>MFD-Colour</v>
      </c>
      <c r="E4" s="40" t="str">
        <f>Lists!N4</f>
        <v>Konica Minolta</v>
      </c>
      <c r="F4" s="40" t="str">
        <f>Lists!O4</f>
        <v>Entry</v>
      </c>
      <c r="G4" s="40">
        <v>1</v>
      </c>
      <c r="H4" s="159">
        <f>IF(C4="Not Offered","",VLOOKUP(C4,Data!$H:$BB,5,FALSE))</f>
        <v>2792.4325000000003</v>
      </c>
      <c r="I4" s="159">
        <f>IF(C4="Not Offered","",IF('Lowest TCO'!$B$3="Zone 1 (Perth Metro)",0,VLOOKUP($C4,Data!$H:$BG,43+(MATCH('Lowest TCO'!$B$3,Locations,0)),FALSE)))</f>
        <v>1067</v>
      </c>
      <c r="J4" s="28">
        <f>IF(C4="Not Offered","",VLOOKUP($C4,Data!$H:$AL,4+2*(MATCH('Lowest TCO'!$B$3,Locations,0)),FALSE))</f>
        <v>1.54E-2</v>
      </c>
      <c r="K4" s="28">
        <f>IF(C4="Not Offered","",VLOOKUP($C4,Data!$H:$AL,5+2*(MATCH('Lowest TCO'!$B$3,Locations,0)),FALSE))</f>
        <v>0.13200000000000001</v>
      </c>
      <c r="L4" s="160">
        <f>IF(H4="","",ROUNDUP(('Lowest TCO'!$D$3*5)/(VLOOKUP(tco_data!$C4,Data!$H:$J,3,FALSE)),0)*tco_data!$H4)</f>
        <v>2792.4325000000003</v>
      </c>
      <c r="M4" s="210">
        <f>IF(OR(H4="",J4="N/A"),"",(5*J4*('Lowest TCO'!$D$3*(IF(RIGHT(D4,2)="BW",1,1-'Lowest TCO'!$F$3)))))</f>
        <v>6160</v>
      </c>
      <c r="N4" s="210">
        <f>IF(OR(H4="",K4="N/A"),"",(5*K4*('Lowest TCO'!$D$3*('Lowest TCO'!$F$3))))</f>
        <v>13200</v>
      </c>
      <c r="O4" s="210">
        <f>IF(L4="","",IF(AND('Lowest TCO'!$H$3&lt;&gt;"All",'Lowest TCO'!$H$3&lt;&gt;tco_data!D4),"",IF(J4="N/A","",IF(AND(RIGHT($D4,2)="BW",'Lowest TCO'!$H$3=0),"",SUM(L4:N4)+I4))))</f>
        <v>23219.432500000003</v>
      </c>
    </row>
    <row r="5" spans="1:15" ht="18" customHeight="1" x14ac:dyDescent="0.2">
      <c r="A5" s="209" t="str">
        <f>IF(O5="","",IF(AND(tco_data!D5&lt;&gt;'Lowest TCO'!H$3,'Lowest TCO'!H$3&lt;&gt;"All"),"",IF(ISNA(RANK(tco_data!O5,tco_data!O$2:O$129)),"",RANK(tco_data!O5,tco_data!O$2:O$129,1))))</f>
        <v/>
      </c>
      <c r="B5" s="161" t="str">
        <f t="shared" si="0"/>
        <v>MFD-Colour Entry Konica Minolta</v>
      </c>
      <c r="C5" s="40" t="str">
        <f>Lists!L5</f>
        <v>bizhub C250i</v>
      </c>
      <c r="D5" s="39" t="str">
        <f>Lists!M5</f>
        <v>MFD-Colour</v>
      </c>
      <c r="E5" s="40" t="str">
        <f>Lists!N5</f>
        <v>Konica Minolta</v>
      </c>
      <c r="F5" s="40" t="str">
        <f>Lists!O5</f>
        <v>Entry</v>
      </c>
      <c r="G5" s="40">
        <v>2</v>
      </c>
      <c r="H5" s="159">
        <f>IF(C5="Not Offered","",VLOOKUP(C5,Data!$H:$BB,5,FALSE))</f>
        <v>3569.2525000000001</v>
      </c>
      <c r="I5" s="159">
        <f>IF(C5="Not Offered","",IF('Lowest TCO'!$B$3="Zone 1 (Perth Metro)",0,VLOOKUP($C5,Data!$H:$BG,43+(MATCH('Lowest TCO'!$B$3,Locations,0)),FALSE)))</f>
        <v>1144</v>
      </c>
      <c r="J5" s="28">
        <f>IF(C5="Not Offered","",VLOOKUP($C5,Data!$H:$AL,4+2*(MATCH('Lowest TCO'!$B$3,Locations,0)),FALSE))</f>
        <v>1.54E-2</v>
      </c>
      <c r="K5" s="28">
        <f>IF(C5="Not Offered","",VLOOKUP($C5,Data!$H:$AL,5+2*(MATCH('Lowest TCO'!$B$3,Locations,0)),FALSE))</f>
        <v>0.13200000000000001</v>
      </c>
      <c r="L5" s="160">
        <f>IF(H5="","",ROUNDUP(('Lowest TCO'!$D$3*5)/(VLOOKUP(tco_data!$C5,Data!$H:$J,3,FALSE)),0)*tco_data!$H5)</f>
        <v>3569.2525000000001</v>
      </c>
      <c r="M5" s="210">
        <f>IF(OR(H5="",J5="N/A"),"",(5*J5*('Lowest TCO'!$D$3*(IF(RIGHT(D5,2)="BW",1,1-'Lowest TCO'!$F$3)))))</f>
        <v>6160</v>
      </c>
      <c r="N5" s="210">
        <f>IF(OR(H5="",K5="N/A"),"",(5*K5*('Lowest TCO'!$D$3*('Lowest TCO'!$F$3))))</f>
        <v>13200</v>
      </c>
      <c r="O5" s="210">
        <f>IF(L5="","",IF(AND('Lowest TCO'!$H$3&lt;&gt;"All",'Lowest TCO'!$H$3&lt;&gt;tco_data!D5),"",IF(J5="N/A","",IF(AND(RIGHT($D5,2)="BW",'Lowest TCO'!$H$3=0),"",SUM(L5:N5)+I5))))</f>
        <v>24073.252500000002</v>
      </c>
    </row>
    <row r="6" spans="1:15" ht="18" customHeight="1" x14ac:dyDescent="0.2">
      <c r="A6" s="209" t="str">
        <f>IF(O6="","",IF(AND(tco_data!D6&lt;&gt;'Lowest TCO'!H$3,'Lowest TCO'!H$3&lt;&gt;"All"),"",IF(ISNA(RANK(tco_data!O6,tco_data!O$2:O$129)),"",RANK(tco_data!O6,tco_data!O$2:O$129,1))))</f>
        <v/>
      </c>
      <c r="B6" s="161" t="str">
        <f t="shared" si="0"/>
        <v>MFD-Colour Entry Kyocera</v>
      </c>
      <c r="C6" s="40" t="str">
        <f>Lists!L6</f>
        <v>ECOSYS M8124cidn</v>
      </c>
      <c r="D6" s="39" t="str">
        <f>Lists!M6</f>
        <v>MFD-Colour</v>
      </c>
      <c r="E6" s="40" t="str">
        <f>Lists!N6</f>
        <v>Kyocera</v>
      </c>
      <c r="F6" s="40" t="str">
        <f>Lists!O6</f>
        <v>Entry</v>
      </c>
      <c r="G6" s="40">
        <v>1</v>
      </c>
      <c r="H6" s="159">
        <f>IF(C6="Not Offered","",VLOOKUP(C6,Data!$H:$BB,5,FALSE))</f>
        <v>2784.1</v>
      </c>
      <c r="I6" s="159">
        <f>IF(C6="Not Offered","",IF('Lowest TCO'!$B$3="Zone 1 (Perth Metro)",0,VLOOKUP($C6,Data!$H:$BG,43+(MATCH('Lowest TCO'!$B$3,Locations,0)),FALSE)))</f>
        <v>385</v>
      </c>
      <c r="J6" s="28">
        <f>IF(C6="Not Offered","",VLOOKUP($C6,Data!$H:$AL,4+2*(MATCH('Lowest TCO'!$B$3,Locations,0)),FALSE))</f>
        <v>1.32E-2</v>
      </c>
      <c r="K6" s="28">
        <f>IF(C6="Not Offered","",VLOOKUP($C6,Data!$H:$AL,5+2*(MATCH('Lowest TCO'!$B$3,Locations,0)),FALSE))</f>
        <v>0.13200000000000001</v>
      </c>
      <c r="L6" s="160">
        <f>IF(H6="","",ROUNDUP(('Lowest TCO'!$D$3*5)/(VLOOKUP(tco_data!$C6,Data!$H:$J,3,FALSE)),0)*tco_data!$H6)</f>
        <v>2784.1</v>
      </c>
      <c r="M6" s="210">
        <f>IF(OR(H6="",J6="N/A"),"",(5*J6*('Lowest TCO'!$D$3*(IF(RIGHT(D6,2)="BW",1,1-'Lowest TCO'!$F$3)))))</f>
        <v>5280</v>
      </c>
      <c r="N6" s="210">
        <f>IF(OR(H6="",K6="N/A"),"",(5*K6*('Lowest TCO'!$D$3*('Lowest TCO'!$F$3))))</f>
        <v>13200</v>
      </c>
      <c r="O6" s="210">
        <f>IF(L6="","",IF(AND('Lowest TCO'!$H$3&lt;&gt;"All",'Lowest TCO'!$H$3&lt;&gt;tco_data!D6),"",IF(J6="N/A","",IF(AND(RIGHT($D6,2)="BW",'Lowest TCO'!$H$3=0),"",SUM(L6:N6)+I6))))</f>
        <v>21649.1</v>
      </c>
    </row>
    <row r="7" spans="1:15" ht="18" customHeight="1" x14ac:dyDescent="0.2">
      <c r="A7" s="209" t="str">
        <f>IF(O7="","",IF(AND(tco_data!D7&lt;&gt;'Lowest TCO'!H$3,'Lowest TCO'!H$3&lt;&gt;"All"),"",IF(ISNA(RANK(tco_data!O7,tco_data!O$2:O$129)),"",RANK(tco_data!O7,tco_data!O$2:O$129,1))))</f>
        <v/>
      </c>
      <c r="B7" s="161" t="str">
        <f t="shared" si="0"/>
        <v>MFD-Colour Entry Kyocera</v>
      </c>
      <c r="C7" s="40" t="str">
        <f>Lists!L7</f>
        <v>TASKalfa 2554ci</v>
      </c>
      <c r="D7" s="39" t="str">
        <f>Lists!M7</f>
        <v>MFD-Colour</v>
      </c>
      <c r="E7" s="40" t="str">
        <f>Lists!N7</f>
        <v>Kyocera</v>
      </c>
      <c r="F7" s="40" t="str">
        <f>Lists!O7</f>
        <v>Entry</v>
      </c>
      <c r="G7" s="40">
        <v>2</v>
      </c>
      <c r="H7" s="159">
        <f>IF(C7="Not Offered","",VLOOKUP(C7,Data!$H:$BB,5,FALSE))</f>
        <v>3529.9</v>
      </c>
      <c r="I7" s="159">
        <f>IF(C7="Not Offered","",IF('Lowest TCO'!$B$3="Zone 1 (Perth Metro)",0,VLOOKUP($C7,Data!$H:$BG,43+(MATCH('Lowest TCO'!$B$3,Locations,0)),FALSE)))</f>
        <v>550</v>
      </c>
      <c r="J7" s="28">
        <f>IF(C7="Not Offered","",VLOOKUP($C7,Data!$H:$AL,4+2*(MATCH('Lowest TCO'!$B$3,Locations,0)),FALSE))</f>
        <v>9.9000000000000008E-3</v>
      </c>
      <c r="K7" s="28">
        <f>IF(C7="Not Offered","",VLOOKUP($C7,Data!$H:$AL,5+2*(MATCH('Lowest TCO'!$B$3,Locations,0)),FALSE))</f>
        <v>9.9000000000000005E-2</v>
      </c>
      <c r="L7" s="160">
        <f>IF(H7="","",ROUNDUP(('Lowest TCO'!$D$3*5)/(VLOOKUP(tco_data!$C7,Data!$H:$J,3,FALSE)),0)*tco_data!$H7)</f>
        <v>3529.9</v>
      </c>
      <c r="M7" s="210">
        <f>IF(OR(H7="",J7="N/A"),"",(5*J7*('Lowest TCO'!$D$3*(IF(RIGHT(D7,2)="BW",1,1-'Lowest TCO'!$F$3)))))</f>
        <v>3960</v>
      </c>
      <c r="N7" s="210">
        <f>IF(OR(H7="",K7="N/A"),"",(5*K7*('Lowest TCO'!$D$3*('Lowest TCO'!$F$3))))</f>
        <v>9900</v>
      </c>
      <c r="O7" s="210">
        <f>IF(L7="","",IF(AND('Lowest TCO'!$H$3&lt;&gt;"All",'Lowest TCO'!$H$3&lt;&gt;tco_data!D7),"",IF(J7="N/A","",IF(AND(RIGHT($D7,2)="BW",'Lowest TCO'!$H$3=0),"",SUM(L7:N7)+I7))))</f>
        <v>17939.900000000001</v>
      </c>
    </row>
    <row r="8" spans="1:15" ht="18" customHeight="1" x14ac:dyDescent="0.2">
      <c r="A8" s="209" t="str">
        <f>IF(O8="","",IF(AND(tco_data!D8&lt;&gt;'Lowest TCO'!H$3,'Lowest TCO'!H$3&lt;&gt;"All"),"",IF(ISNA(RANK(tco_data!O8,tco_data!O$2:O$129)),"",RANK(tco_data!O8,tco_data!O$2:O$129,1))))</f>
        <v/>
      </c>
      <c r="B8" s="161" t="str">
        <f t="shared" si="0"/>
        <v>MFD-Colour Entry Ricoh</v>
      </c>
      <c r="C8" s="40" t="str">
        <f>Lists!L8</f>
        <v>IM C2010</v>
      </c>
      <c r="D8" s="39" t="str">
        <f>Lists!M8</f>
        <v>MFD-Colour</v>
      </c>
      <c r="E8" s="40" t="str">
        <f>Lists!N8</f>
        <v>Ricoh</v>
      </c>
      <c r="F8" s="40" t="str">
        <f>Lists!O8</f>
        <v>Entry</v>
      </c>
      <c r="G8" s="40">
        <v>1</v>
      </c>
      <c r="H8" s="159">
        <f>IF(C8="Not Offered","",VLOOKUP(C8,Data!$H:$BB,5,FALSE))</f>
        <v>2764.4760000000001</v>
      </c>
      <c r="I8" s="159">
        <f>IF(C8="Not Offered","",IF('Lowest TCO'!$B$3="Zone 1 (Perth Metro)",0,VLOOKUP($C8,Data!$H:$BG,43+(MATCH('Lowest TCO'!$B$3,Locations,0)),FALSE)))</f>
        <v>1025.97</v>
      </c>
      <c r="J8" s="28">
        <f>IF(C8="Not Offered","",VLOOKUP($C8,Data!$H:$AL,4+2*(MATCH('Lowest TCO'!$B$3,Locations,0)),FALSE))</f>
        <v>1.3200000000000002E-2</v>
      </c>
      <c r="K8" s="28">
        <f>IF(C8="Not Offered","",VLOOKUP($C8,Data!$H:$AL,5+2*(MATCH('Lowest TCO'!$B$3,Locations,0)),FALSE))</f>
        <v>0.13200000000000001</v>
      </c>
      <c r="L8" s="160">
        <f>IF(H8="","",ROUNDUP(('Lowest TCO'!$D$3*5)/(VLOOKUP(tco_data!$C8,Data!$H:$J,3,FALSE)),0)*tco_data!$H8)</f>
        <v>2764.4760000000001</v>
      </c>
      <c r="M8" s="210">
        <f>IF(OR(H8="",J8="N/A"),"",(5*J8*('Lowest TCO'!$D$3*(IF(RIGHT(D8,2)="BW",1,1-'Lowest TCO'!$F$3)))))</f>
        <v>5280</v>
      </c>
      <c r="N8" s="210">
        <f>IF(OR(H8="",K8="N/A"),"",(5*K8*('Lowest TCO'!$D$3*('Lowest TCO'!$F$3))))</f>
        <v>13200</v>
      </c>
      <c r="O8" s="210">
        <f>IF(L8="","",IF(AND('Lowest TCO'!$H$3&lt;&gt;"All",'Lowest TCO'!$H$3&lt;&gt;tco_data!D8),"",IF(J8="N/A","",IF(AND(RIGHT($D8,2)="BW",'Lowest TCO'!$H$3=0),"",SUM(L8:N8)+I8))))</f>
        <v>22270.446000000004</v>
      </c>
    </row>
    <row r="9" spans="1:15" ht="18" customHeight="1" x14ac:dyDescent="0.2">
      <c r="A9" s="209" t="str">
        <f>IF(O9="","",IF(AND(tco_data!D9&lt;&gt;'Lowest TCO'!H$3,'Lowest TCO'!H$3&lt;&gt;"All"),"",IF(ISNA(RANK(tco_data!O9,tco_data!O$2:O$129)),"",RANK(tco_data!O9,tco_data!O$2:O$129,1))))</f>
        <v/>
      </c>
      <c r="B9" s="161" t="str">
        <f t="shared" si="0"/>
        <v>MFD-Colour Entry Ricoh</v>
      </c>
      <c r="C9" s="40" t="str">
        <f>Lists!L9</f>
        <v>IM C2510</v>
      </c>
      <c r="D9" s="39" t="str">
        <f>Lists!M9</f>
        <v>MFD-Colour</v>
      </c>
      <c r="E9" s="40" t="str">
        <f>Lists!N9</f>
        <v>Ricoh</v>
      </c>
      <c r="F9" s="40" t="str">
        <f>Lists!O9</f>
        <v>Entry</v>
      </c>
      <c r="G9" s="40">
        <v>2</v>
      </c>
      <c r="H9" s="159">
        <f>IF(C9="Not Offered","",VLOOKUP(C9,Data!$H:$BB,5,FALSE))</f>
        <v>3251.556</v>
      </c>
      <c r="I9" s="159">
        <f>IF(C9="Not Offered","",IF('Lowest TCO'!$B$3="Zone 1 (Perth Metro)",0,VLOOKUP($C9,Data!$H:$BG,43+(MATCH('Lowest TCO'!$B$3,Locations,0)),FALSE)))</f>
        <v>1071.0700000000002</v>
      </c>
      <c r="J9" s="28">
        <f>IF(C9="Not Offered","",VLOOKUP($C9,Data!$H:$AL,4+2*(MATCH('Lowest TCO'!$B$3,Locations,0)),FALSE))</f>
        <v>1.3200000000000002E-2</v>
      </c>
      <c r="K9" s="28">
        <f>IF(C9="Not Offered","",VLOOKUP($C9,Data!$H:$AL,5+2*(MATCH('Lowest TCO'!$B$3,Locations,0)),FALSE))</f>
        <v>0.13200000000000001</v>
      </c>
      <c r="L9" s="160">
        <f>IF(H9="","",ROUNDUP(('Lowest TCO'!$D$3*5)/(VLOOKUP(tco_data!$C9,Data!$H:$J,3,FALSE)),0)*tco_data!$H9)</f>
        <v>3251.556</v>
      </c>
      <c r="M9" s="210">
        <f>IF(OR(H9="",J9="N/A"),"",(5*J9*('Lowest TCO'!$D$3*(IF(RIGHT(D9,2)="BW",1,1-'Lowest TCO'!$F$3)))))</f>
        <v>5280</v>
      </c>
      <c r="N9" s="210">
        <f>IF(OR(H9="",K9="N/A"),"",(5*K9*('Lowest TCO'!$D$3*('Lowest TCO'!$F$3))))</f>
        <v>13200</v>
      </c>
      <c r="O9" s="210">
        <f>IF(L9="","",IF(AND('Lowest TCO'!$H$3&lt;&gt;"All",'Lowest TCO'!$H$3&lt;&gt;tco_data!D9),"",IF(J9="N/A","",IF(AND(RIGHT($D9,2)="BW",'Lowest TCO'!$H$3=0),"",SUM(L9:N9)+I9))))</f>
        <v>22802.626</v>
      </c>
    </row>
    <row r="10" spans="1:15" ht="18" customHeight="1" x14ac:dyDescent="0.2">
      <c r="A10" s="209" t="e">
        <f>IF(O10="","",IF(AND(tco_data!D10&lt;&gt;'Lowest TCO'!H$3,'Lowest TCO'!H$3&lt;&gt;"All"),"",IF(ISNA(RANK(tco_data!O10,tco_data!O$2:O$129)),"",RANK(tco_data!O10,tco_data!O$2:O$129,1))))</f>
        <v>#N/A</v>
      </c>
      <c r="B10" s="161" t="str">
        <f t="shared" si="0"/>
        <v>MFD-Colour Low Fuji Business Innovation</v>
      </c>
      <c r="C10" s="40" t="e">
        <f>Lists!L10</f>
        <v>#N/A</v>
      </c>
      <c r="D10" s="39" t="str">
        <f>Lists!M10</f>
        <v>MFD-Colour</v>
      </c>
      <c r="E10" s="40" t="str">
        <f>Lists!N10</f>
        <v>Fuji Business Innovation</v>
      </c>
      <c r="F10" s="40" t="str">
        <f>Lists!O10</f>
        <v>Low</v>
      </c>
      <c r="G10" s="40">
        <v>1</v>
      </c>
      <c r="H10" s="159" t="e">
        <f>IF(C10="Not Offered","",VLOOKUP(C10,Data!$H:$BB,5,FALSE))</f>
        <v>#N/A</v>
      </c>
      <c r="I10" s="159" t="e">
        <f>IF(C10="Not Offered","",IF('Lowest TCO'!$B$3="Zone 1 (Perth Metro)",0,VLOOKUP($C10,Data!$H:$BG,43+(MATCH('Lowest TCO'!$B$3,Locations,0)),FALSE)))</f>
        <v>#N/A</v>
      </c>
      <c r="J10" s="28" t="e">
        <f>IF(C10="Not Offered","",VLOOKUP($C10,Data!$H:$AL,4+2*(MATCH('Lowest TCO'!$B$3,Locations,0)),FALSE))</f>
        <v>#N/A</v>
      </c>
      <c r="K10" s="28" t="e">
        <f>IF(C10="Not Offered","",VLOOKUP($C10,Data!$H:$AL,5+2*(MATCH('Lowest TCO'!$B$3,Locations,0)),FALSE))</f>
        <v>#N/A</v>
      </c>
      <c r="L10" s="160" t="e">
        <f>IF(H10="","",ROUNDUP(('Lowest TCO'!$D$3*5)/(VLOOKUP(tco_data!$C10,Data!$H:$J,3,FALSE)),0)*tco_data!$H10)</f>
        <v>#N/A</v>
      </c>
      <c r="M10" s="210" t="e">
        <f>IF(OR(H10="",J10="N/A"),"",(5*J10*('Lowest TCO'!$D$3*(IF(RIGHT(D10,2)="BW",1,1-'Lowest TCO'!$F$3)))))</f>
        <v>#N/A</v>
      </c>
      <c r="N10" s="210" t="e">
        <f>IF(OR(H10="",K10="N/A"),"",(5*K10*('Lowest TCO'!$D$3*('Lowest TCO'!$F$3))))</f>
        <v>#N/A</v>
      </c>
      <c r="O10" s="210" t="e">
        <f>IF(L10="","",IF(AND('Lowest TCO'!$H$3&lt;&gt;"All",'Lowest TCO'!$H$3&lt;&gt;tco_data!D10),"",IF(J10="N/A","",IF(AND(RIGHT($D10,2)="BW",'Lowest TCO'!$H$3=0),"",SUM(L10:N10)+I10))))</f>
        <v>#N/A</v>
      </c>
    </row>
    <row r="11" spans="1:15" ht="18" customHeight="1" x14ac:dyDescent="0.2">
      <c r="A11" s="209" t="e">
        <f>IF(O11="","",IF(AND(tco_data!D11&lt;&gt;'Lowest TCO'!H$3,'Lowest TCO'!H$3&lt;&gt;"All"),"",IF(ISNA(RANK(tco_data!O11,tco_data!O$2:O$129)),"",RANK(tco_data!O11,tco_data!O$2:O$129,1))))</f>
        <v>#N/A</v>
      </c>
      <c r="B11" s="161" t="str">
        <f t="shared" si="0"/>
        <v>MFD-Colour Low Fuji Business Innovation</v>
      </c>
      <c r="C11" s="40" t="e">
        <f>Lists!L11</f>
        <v>#N/A</v>
      </c>
      <c r="D11" s="39" t="str">
        <f>Lists!M11</f>
        <v>MFD-Colour</v>
      </c>
      <c r="E11" s="40" t="str">
        <f>Lists!N11</f>
        <v>Fuji Business Innovation</v>
      </c>
      <c r="F11" s="40" t="str">
        <f>Lists!O11</f>
        <v>Low</v>
      </c>
      <c r="G11" s="40">
        <v>2</v>
      </c>
      <c r="H11" s="159" t="e">
        <f>IF(C11="Not Offered","",VLOOKUP(C11,Data!$H:$BB,5,FALSE))</f>
        <v>#N/A</v>
      </c>
      <c r="I11" s="159" t="e">
        <f>IF(C11="Not Offered","",IF('Lowest TCO'!$B$3="Zone 1 (Perth Metro)",0,VLOOKUP($C11,Data!$H:$BG,43+(MATCH('Lowest TCO'!$B$3,Locations,0)),FALSE)))</f>
        <v>#N/A</v>
      </c>
      <c r="J11" s="28" t="e">
        <f>IF(C11="Not Offered","",VLOOKUP($C11,Data!$H:$AL,4+2*(MATCH('Lowest TCO'!$B$3,Locations,0)),FALSE))</f>
        <v>#N/A</v>
      </c>
      <c r="K11" s="28" t="e">
        <f>IF(C11="Not Offered","",VLOOKUP($C11,Data!$H:$AL,5+2*(MATCH('Lowest TCO'!$B$3,Locations,0)),FALSE))</f>
        <v>#N/A</v>
      </c>
      <c r="L11" s="160" t="e">
        <f>IF(H11="","",ROUNDUP(('Lowest TCO'!$D$3*5)/(VLOOKUP(tco_data!$C11,Data!$H:$J,3,FALSE)),0)*tco_data!$H11)</f>
        <v>#N/A</v>
      </c>
      <c r="M11" s="210" t="e">
        <f>IF(OR(H11="",J11="N/A"),"",(5*J11*('Lowest TCO'!$D$3*(IF(RIGHT(D11,2)="BW",1,1-'Lowest TCO'!$F$3)))))</f>
        <v>#N/A</v>
      </c>
      <c r="N11" s="210" t="e">
        <f>IF(OR(H11="",K11="N/A"),"",(5*K11*('Lowest TCO'!$D$3*('Lowest TCO'!$F$3))))</f>
        <v>#N/A</v>
      </c>
      <c r="O11" s="210" t="e">
        <f>IF(L11="","",IF(AND('Lowest TCO'!$H$3&lt;&gt;"All",'Lowest TCO'!$H$3&lt;&gt;tco_data!D11),"",IF(J11="N/A","",IF(AND(RIGHT($D11,2)="BW",'Lowest TCO'!$H$3=0),"",SUM(L11:N11)+I11))))</f>
        <v>#N/A</v>
      </c>
    </row>
    <row r="12" spans="1:15" ht="18" customHeight="1" x14ac:dyDescent="0.2">
      <c r="A12" s="209" t="e">
        <f>IF(O12="","",IF(AND(tco_data!D12&lt;&gt;'Lowest TCO'!H$3,'Lowest TCO'!H$3&lt;&gt;"All"),"",IF(ISNA(RANK(tco_data!O12,tco_data!O$2:O$129)),"",RANK(tco_data!O12,tco_data!O$2:O$129,1))))</f>
        <v>#N/A</v>
      </c>
      <c r="B12" s="161" t="str">
        <f t="shared" si="0"/>
        <v>MFD-Colour Low Fuji Business Innovation</v>
      </c>
      <c r="C12" s="40" t="e">
        <f>Lists!L12</f>
        <v>#N/A</v>
      </c>
      <c r="D12" s="39" t="str">
        <f>Lists!M12</f>
        <v>MFD-Colour</v>
      </c>
      <c r="E12" s="40" t="str">
        <f>Lists!N12</f>
        <v>Fuji Business Innovation</v>
      </c>
      <c r="F12" s="40" t="str">
        <f>Lists!O12</f>
        <v>Low</v>
      </c>
      <c r="G12" s="40">
        <v>3</v>
      </c>
      <c r="H12" s="159" t="e">
        <f>IF(C12="Not Offered","",VLOOKUP(C12,Data!$H:$BB,5,FALSE))</f>
        <v>#N/A</v>
      </c>
      <c r="I12" s="159" t="e">
        <f>IF(C12="Not Offered","",IF('Lowest TCO'!$B$3="Zone 1 (Perth Metro)",0,VLOOKUP($C12,Data!$H:$BG,43+(MATCH('Lowest TCO'!$B$3,Locations,0)),FALSE)))</f>
        <v>#N/A</v>
      </c>
      <c r="J12" s="28" t="e">
        <f>IF(C12="Not Offered","",VLOOKUP($C12,Data!$H:$AL,4+2*(MATCH('Lowest TCO'!$B$3,Locations,0)),FALSE))</f>
        <v>#N/A</v>
      </c>
      <c r="K12" s="28" t="e">
        <f>IF(C12="Not Offered","",VLOOKUP($C12,Data!$H:$AL,5+2*(MATCH('Lowest TCO'!$B$3,Locations,0)),FALSE))</f>
        <v>#N/A</v>
      </c>
      <c r="L12" s="160" t="e">
        <f>IF(H12="","",ROUNDUP(('Lowest TCO'!$D$3*5)/(VLOOKUP(tco_data!$C12,Data!$H:$J,3,FALSE)),0)*tco_data!$H12)</f>
        <v>#N/A</v>
      </c>
      <c r="M12" s="210" t="e">
        <f>IF(OR(H12="",J12="N/A"),"",(5*J12*('Lowest TCO'!$D$3*(IF(RIGHT(D12,2)="BW",1,1-'Lowest TCO'!$F$3)))))</f>
        <v>#N/A</v>
      </c>
      <c r="N12" s="210" t="e">
        <f>IF(OR(H12="",K12="N/A"),"",(5*K12*('Lowest TCO'!$D$3*('Lowest TCO'!$F$3))))</f>
        <v>#N/A</v>
      </c>
      <c r="O12" s="210" t="e">
        <f>IF(L12="","",IF(AND('Lowest TCO'!$H$3&lt;&gt;"All",'Lowest TCO'!$H$3&lt;&gt;tco_data!D12),"",IF(J12="N/A","",IF(AND(RIGHT($D12,2)="BW",'Lowest TCO'!$H$3=0),"",SUM(L12:N12)+I12))))</f>
        <v>#N/A</v>
      </c>
    </row>
    <row r="13" spans="1:15" ht="18" customHeight="1" x14ac:dyDescent="0.2">
      <c r="A13" s="209" t="e">
        <f>IF(O13="","",IF(AND(tco_data!D13&lt;&gt;'Lowest TCO'!H$3,'Lowest TCO'!H$3&lt;&gt;"All"),"",IF(ISNA(RANK(tco_data!O13,tco_data!O$2:O$129)),"",RANK(tco_data!O13,tco_data!O$2:O$129,1))))</f>
        <v>#N/A</v>
      </c>
      <c r="B13" s="161" t="str">
        <f t="shared" si="0"/>
        <v>MFD-Colour Low Fuji Business Innovation</v>
      </c>
      <c r="C13" s="40" t="e">
        <f>Lists!L13</f>
        <v>#N/A</v>
      </c>
      <c r="D13" s="39" t="str">
        <f>Lists!M13</f>
        <v>MFD-Colour</v>
      </c>
      <c r="E13" s="40" t="str">
        <f>Lists!N13</f>
        <v>Fuji Business Innovation</v>
      </c>
      <c r="F13" s="40" t="str">
        <f>Lists!O13</f>
        <v>Low</v>
      </c>
      <c r="G13" s="40">
        <v>4</v>
      </c>
      <c r="H13" s="159" t="e">
        <f>IF(C13="Not Offered","",VLOOKUP(C13,Data!$H:$BB,5,FALSE))</f>
        <v>#N/A</v>
      </c>
      <c r="I13" s="159" t="e">
        <f>IF(C13="Not Offered","",IF('Lowest TCO'!$B$3="Zone 1 (Perth Metro)",0,VLOOKUP($C13,Data!$H:$BG,43+(MATCH('Lowest TCO'!$B$3,Locations,0)),FALSE)))</f>
        <v>#N/A</v>
      </c>
      <c r="J13" s="28" t="e">
        <f>IF(C13="Not Offered","",VLOOKUP($C13,Data!$H:$AL,4+2*(MATCH('Lowest TCO'!$B$3,Locations,0)),FALSE))</f>
        <v>#N/A</v>
      </c>
      <c r="K13" s="28" t="e">
        <f>IF(C13="Not Offered","",VLOOKUP($C13,Data!$H:$AL,5+2*(MATCH('Lowest TCO'!$B$3,Locations,0)),FALSE))</f>
        <v>#N/A</v>
      </c>
      <c r="L13" s="160" t="e">
        <f>IF(H13="","",ROUNDUP(('Lowest TCO'!$D$3*5)/(VLOOKUP(tco_data!$C13,Data!$H:$J,3,FALSE)),0)*tco_data!$H13)</f>
        <v>#N/A</v>
      </c>
      <c r="M13" s="210" t="e">
        <f>IF(OR(H13="",J13="N/A"),"",(5*J13*('Lowest TCO'!$D$3*(IF(RIGHT(D13,2)="BW",1,1-'Lowest TCO'!$F$3)))))</f>
        <v>#N/A</v>
      </c>
      <c r="N13" s="210" t="e">
        <f>IF(OR(H13="",K13="N/A"),"",(5*K13*('Lowest TCO'!$D$3*('Lowest TCO'!$F$3))))</f>
        <v>#N/A</v>
      </c>
      <c r="O13" s="210" t="e">
        <f>IF(L13="","",IF(AND('Lowest TCO'!$H$3&lt;&gt;"All",'Lowest TCO'!$H$3&lt;&gt;tco_data!D13),"",IF(J13="N/A","",IF(AND(RIGHT($D13,2)="BW",'Lowest TCO'!$H$3=0),"",SUM(L13:N13)+I13))))</f>
        <v>#N/A</v>
      </c>
    </row>
    <row r="14" spans="1:15" ht="18" customHeight="1" x14ac:dyDescent="0.2">
      <c r="A14" s="209" t="str">
        <f>IF(O14="","",IF(AND(tco_data!D14&lt;&gt;'Lowest TCO'!H$3,'Lowest TCO'!H$3&lt;&gt;"All"),"",IF(ISNA(RANK(tco_data!O14,tco_data!O$2:O$129)),"",RANK(tco_data!O14,tco_data!O$2:O$129,1))))</f>
        <v/>
      </c>
      <c r="B14" s="161" t="str">
        <f t="shared" si="0"/>
        <v>MFD-Colour Low Konica Minolta</v>
      </c>
      <c r="C14" s="40" t="str">
        <f>Lists!L14</f>
        <v>bizhub C300i</v>
      </c>
      <c r="D14" s="39" t="str">
        <f>Lists!M14</f>
        <v>MFD-Colour</v>
      </c>
      <c r="E14" s="40" t="str">
        <f>Lists!N14</f>
        <v>Konica Minolta</v>
      </c>
      <c r="F14" s="40" t="str">
        <f>Lists!O14</f>
        <v>Low</v>
      </c>
      <c r="G14" s="40">
        <v>1</v>
      </c>
      <c r="H14" s="159">
        <f>IF(C14="Not Offered","",VLOOKUP(C14,Data!$H:$BB,5,FALSE))</f>
        <v>3781.1125000000002</v>
      </c>
      <c r="I14" s="159">
        <f>IF(C14="Not Offered","",IF('Lowest TCO'!$B$3="Zone 1 (Perth Metro)",0,VLOOKUP($C14,Data!$H:$BG,43+(MATCH('Lowest TCO'!$B$3,Locations,0)),FALSE)))</f>
        <v>1166</v>
      </c>
      <c r="J14" s="28">
        <f>IF(C14="Not Offered","",VLOOKUP($C14,Data!$H:$AL,4+2*(MATCH('Lowest TCO'!$B$3,Locations,0)),FALSE))</f>
        <v>1.54E-2</v>
      </c>
      <c r="K14" s="28">
        <f>IF(C14="Not Offered","",VLOOKUP($C14,Data!$H:$AL,5+2*(MATCH('Lowest TCO'!$B$3,Locations,0)),FALSE))</f>
        <v>0.13200000000000001</v>
      </c>
      <c r="L14" s="160">
        <f>IF(H14="","",ROUNDUP(('Lowest TCO'!$D$3*5)/(VLOOKUP(tco_data!$C14,Data!$H:$J,3,FALSE)),0)*tco_data!$H14)</f>
        <v>3781.1125000000002</v>
      </c>
      <c r="M14" s="210">
        <f>IF(OR(H14="",J14="N/A"),"",(5*J14*('Lowest TCO'!$D$3*(IF(RIGHT(D14,2)="BW",1,1-'Lowest TCO'!$F$3)))))</f>
        <v>6160</v>
      </c>
      <c r="N14" s="210">
        <f>IF(OR(H14="",K14="N/A"),"",(5*K14*('Lowest TCO'!$D$3*('Lowest TCO'!$F$3))))</f>
        <v>13200</v>
      </c>
      <c r="O14" s="210">
        <f>IF(L14="","",IF(AND('Lowest TCO'!$H$3&lt;&gt;"All",'Lowest TCO'!$H$3&lt;&gt;tco_data!D14),"",IF(J14="N/A","",IF(AND(RIGHT($D14,2)="BW",'Lowest TCO'!$H$3=0),"",SUM(L14:N14)+I14))))</f>
        <v>24307.112499999999</v>
      </c>
    </row>
    <row r="15" spans="1:15" ht="18" customHeight="1" x14ac:dyDescent="0.2">
      <c r="A15" s="209" t="str">
        <f>IF(O15="","",IF(AND(tco_data!D15&lt;&gt;'Lowest TCO'!H$3,'Lowest TCO'!H$3&lt;&gt;"All"),"",IF(ISNA(RANK(tco_data!O15,tco_data!O$2:O$129)),"",RANK(tco_data!O15,tco_data!O$2:O$129,1))))</f>
        <v/>
      </c>
      <c r="B15" s="161" t="str">
        <f t="shared" si="0"/>
        <v>MFD-Colour Low Konica Minolta</v>
      </c>
      <c r="C15" s="40" t="str">
        <f>Lists!L15</f>
        <v>bizhub C360i</v>
      </c>
      <c r="D15" s="39" t="str">
        <f>Lists!M15</f>
        <v>MFD-Colour</v>
      </c>
      <c r="E15" s="40" t="str">
        <f>Lists!N15</f>
        <v>Konica Minolta</v>
      </c>
      <c r="F15" s="40" t="str">
        <f>Lists!O15</f>
        <v>Low</v>
      </c>
      <c r="G15" s="40">
        <v>2</v>
      </c>
      <c r="H15" s="159">
        <f>IF(C15="Not Offered","",VLOOKUP(C15,Data!$H:$BB,5,FALSE))</f>
        <v>4487.3125</v>
      </c>
      <c r="I15" s="159">
        <f>IF(C15="Not Offered","",IF('Lowest TCO'!$B$3="Zone 1 (Perth Metro)",0,VLOOKUP($C15,Data!$H:$BG,43+(MATCH('Lowest TCO'!$B$3,Locations,0)),FALSE)))</f>
        <v>1232</v>
      </c>
      <c r="J15" s="28">
        <f>IF(C15="Not Offered","",VLOOKUP($C15,Data!$H:$AL,4+2*(MATCH('Lowest TCO'!$B$3,Locations,0)),FALSE))</f>
        <v>1.54E-2</v>
      </c>
      <c r="K15" s="28">
        <f>IF(C15="Not Offered","",VLOOKUP($C15,Data!$H:$AL,5+2*(MATCH('Lowest TCO'!$B$3,Locations,0)),FALSE))</f>
        <v>0.13200000000000001</v>
      </c>
      <c r="L15" s="160">
        <f>IF(H15="","",ROUNDUP(('Lowest TCO'!$D$3*5)/(VLOOKUP(tco_data!$C15,Data!$H:$J,3,FALSE)),0)*tco_data!$H15)</f>
        <v>4487.3125</v>
      </c>
      <c r="M15" s="210">
        <f>IF(OR(H15="",J15="N/A"),"",(5*J15*('Lowest TCO'!$D$3*(IF(RIGHT(D15,2)="BW",1,1-'Lowest TCO'!$F$3)))))</f>
        <v>6160</v>
      </c>
      <c r="N15" s="210">
        <f>IF(OR(H15="",K15="N/A"),"",(5*K15*('Lowest TCO'!$D$3*('Lowest TCO'!$F$3))))</f>
        <v>13200</v>
      </c>
      <c r="O15" s="210">
        <f>IF(L15="","",IF(AND('Lowest TCO'!$H$3&lt;&gt;"All",'Lowest TCO'!$H$3&lt;&gt;tco_data!D15),"",IF(J15="N/A","",IF(AND(RIGHT($D15,2)="BW",'Lowest TCO'!$H$3=0),"",SUM(L15:N15)+I15))))</f>
        <v>25079.3125</v>
      </c>
    </row>
    <row r="16" spans="1:15" ht="18" customHeight="1" x14ac:dyDescent="0.2">
      <c r="A16" s="209" t="str">
        <f>IF(O16="","",IF(AND(tco_data!D16&lt;&gt;'Lowest TCO'!H$3,'Lowest TCO'!H$3&lt;&gt;"All"),"",IF(ISNA(RANK(tco_data!O16,tco_data!O$2:O$129)),"",RANK(tco_data!O16,tco_data!O$2:O$129,1))))</f>
        <v/>
      </c>
      <c r="B16" s="161" t="str">
        <f t="shared" si="0"/>
        <v>MFD-Colour Low Konica Minolta</v>
      </c>
      <c r="C16" s="40" t="str">
        <f>Lists!L16</f>
        <v>bizhub C3321i</v>
      </c>
      <c r="D16" s="39" t="str">
        <f>Lists!M16</f>
        <v>MFD-Colour</v>
      </c>
      <c r="E16" s="40" t="str">
        <f>Lists!N16</f>
        <v>Konica Minolta</v>
      </c>
      <c r="F16" s="40" t="str">
        <f>Lists!O16</f>
        <v>Low</v>
      </c>
      <c r="G16" s="40">
        <v>3</v>
      </c>
      <c r="H16" s="159">
        <f>IF(C16="Not Offered","",VLOOKUP(C16,Data!$H:$BB,5,FALSE))</f>
        <v>1708.42</v>
      </c>
      <c r="I16" s="159">
        <f>IF(C16="Not Offered","",IF('Lowest TCO'!$B$3="Zone 1 (Perth Metro)",0,VLOOKUP($C16,Data!$H:$BG,43+(MATCH('Lowest TCO'!$B$3,Locations,0)),FALSE)))</f>
        <v>1001</v>
      </c>
      <c r="J16" s="28">
        <f>IF(C16="Not Offered","",VLOOKUP($C16,Data!$H:$AL,4+2*(MATCH('Lowest TCO'!$B$3,Locations,0)),FALSE))</f>
        <v>2.75E-2</v>
      </c>
      <c r="K16" s="28">
        <f>IF(C16="Not Offered","",VLOOKUP($C16,Data!$H:$AL,5+2*(MATCH('Lowest TCO'!$B$3,Locations,0)),FALSE))</f>
        <v>0.17599999999999999</v>
      </c>
      <c r="L16" s="160">
        <f>IF(H16="","",ROUNDUP(('Lowest TCO'!$D$3*5)/(VLOOKUP(tco_data!$C16,Data!$H:$J,3,FALSE)),0)*tco_data!$H16)</f>
        <v>3416.84</v>
      </c>
      <c r="M16" s="210">
        <f>IF(OR(H16="",J16="N/A"),"",(5*J16*('Lowest TCO'!$D$3*(IF(RIGHT(D16,2)="BW",1,1-'Lowest TCO'!$F$3)))))</f>
        <v>11000</v>
      </c>
      <c r="N16" s="210">
        <f>IF(OR(H16="",K16="N/A"),"",(5*K16*('Lowest TCO'!$D$3*('Lowest TCO'!$F$3))))</f>
        <v>17599.999999999996</v>
      </c>
      <c r="O16" s="210">
        <f>IF(L16="","",IF(AND('Lowest TCO'!$H$3&lt;&gt;"All",'Lowest TCO'!$H$3&lt;&gt;tco_data!D16),"",IF(J16="N/A","",IF(AND(RIGHT($D16,2)="BW",'Lowest TCO'!$H$3=0),"",SUM(L16:N16)+I16))))</f>
        <v>33017.839999999997</v>
      </c>
    </row>
    <row r="17" spans="1:15" ht="18" customHeight="1" x14ac:dyDescent="0.2">
      <c r="A17" s="209" t="str">
        <f>IF(O17="","",IF(AND(tco_data!D17&lt;&gt;'Lowest TCO'!H$3,'Lowest TCO'!H$3&lt;&gt;"All"),"",IF(ISNA(RANK(tco_data!O17,tco_data!O$2:O$129)),"",RANK(tco_data!O17,tco_data!O$2:O$129,1))))</f>
        <v/>
      </c>
      <c r="B17" s="161" t="str">
        <f t="shared" si="0"/>
        <v>MFD-Colour Low Konica Minolta</v>
      </c>
      <c r="C17" s="40" t="str">
        <f>Lists!L17</f>
        <v>bizhub C3351i</v>
      </c>
      <c r="D17" s="39" t="str">
        <f>Lists!M17</f>
        <v>MFD-Colour</v>
      </c>
      <c r="E17" s="40" t="str">
        <f>Lists!N17</f>
        <v>Konica Minolta</v>
      </c>
      <c r="F17" s="40" t="str">
        <f>Lists!O17</f>
        <v>Low</v>
      </c>
      <c r="G17" s="40">
        <v>4</v>
      </c>
      <c r="H17" s="159">
        <f>IF(C17="Not Offered","",VLOOKUP(C17,Data!$H:$BB,5,FALSE))</f>
        <v>2177.4500000000003</v>
      </c>
      <c r="I17" s="159">
        <f>IF(C17="Not Offered","",IF('Lowest TCO'!$B$3="Zone 1 (Perth Metro)",0,VLOOKUP($C17,Data!$H:$BG,43+(MATCH('Lowest TCO'!$B$3,Locations,0)),FALSE)))</f>
        <v>1001</v>
      </c>
      <c r="J17" s="28">
        <f>IF(C17="Not Offered","",VLOOKUP($C17,Data!$H:$AL,4+2*(MATCH('Lowest TCO'!$B$3,Locations,0)),FALSE))</f>
        <v>2.75E-2</v>
      </c>
      <c r="K17" s="28">
        <f>IF(C17="Not Offered","",VLOOKUP($C17,Data!$H:$AL,5+2*(MATCH('Lowest TCO'!$B$3,Locations,0)),FALSE))</f>
        <v>0.17599999999999999</v>
      </c>
      <c r="L17" s="160">
        <f>IF(H17="","",ROUNDUP(('Lowest TCO'!$D$3*5)/(VLOOKUP(tco_data!$C17,Data!$H:$J,3,FALSE)),0)*tco_data!$H17)</f>
        <v>4354.9000000000005</v>
      </c>
      <c r="M17" s="210">
        <f>IF(OR(H17="",J17="N/A"),"",(5*J17*('Lowest TCO'!$D$3*(IF(RIGHT(D17,2)="BW",1,1-'Lowest TCO'!$F$3)))))</f>
        <v>11000</v>
      </c>
      <c r="N17" s="210">
        <f>IF(OR(H17="",K17="N/A"),"",(5*K17*('Lowest TCO'!$D$3*('Lowest TCO'!$F$3))))</f>
        <v>17599.999999999996</v>
      </c>
      <c r="O17" s="210">
        <f>IF(L17="","",IF(AND('Lowest TCO'!$H$3&lt;&gt;"All",'Lowest TCO'!$H$3&lt;&gt;tco_data!D17),"",IF(J17="N/A","",IF(AND(RIGHT($D17,2)="BW",'Lowest TCO'!$H$3=0),"",SUM(L17:N17)+I17))))</f>
        <v>33955.899999999994</v>
      </c>
    </row>
    <row r="18" spans="1:15" ht="18" customHeight="1" x14ac:dyDescent="0.2">
      <c r="A18" s="209" t="str">
        <f>IF(O18="","",IF(AND(tco_data!D18&lt;&gt;'Lowest TCO'!H$3,'Lowest TCO'!H$3&lt;&gt;"All"),"",IF(ISNA(RANK(tco_data!O18,tco_data!O$2:O$129)),"",RANK(tco_data!O18,tco_data!O$2:O$129,1))))</f>
        <v/>
      </c>
      <c r="B18" s="161" t="str">
        <f t="shared" si="0"/>
        <v>MFD-Colour Low Kyocera</v>
      </c>
      <c r="C18" s="40" t="str">
        <f>Lists!L18</f>
        <v>ECOSYS MA3500cix</v>
      </c>
      <c r="D18" s="39" t="str">
        <f>Lists!M18</f>
        <v>MFD-Colour</v>
      </c>
      <c r="E18" s="40" t="str">
        <f>Lists!N18</f>
        <v>Kyocera</v>
      </c>
      <c r="F18" s="40" t="str">
        <f>Lists!O18</f>
        <v>Low</v>
      </c>
      <c r="G18" s="40">
        <v>1</v>
      </c>
      <c r="H18" s="159">
        <f>IF(C18="Not Offered","",VLOOKUP(C18,Data!$H:$BB,5,FALSE))</f>
        <v>825</v>
      </c>
      <c r="I18" s="159">
        <f>IF(C18="Not Offered","",IF('Lowest TCO'!$B$3="Zone 1 (Perth Metro)",0,VLOOKUP($C18,Data!$H:$BG,43+(MATCH('Lowest TCO'!$B$3,Locations,0)),FALSE)))</f>
        <v>165</v>
      </c>
      <c r="J18" s="28">
        <f>IF(C18="Not Offered","",VLOOKUP($C18,Data!$H:$AL,4+2*(MATCH('Lowest TCO'!$B$3,Locations,0)),FALSE))</f>
        <v>2.64E-2</v>
      </c>
      <c r="K18" s="28">
        <f>IF(C18="Not Offered","",VLOOKUP($C18,Data!$H:$AL,5+2*(MATCH('Lowest TCO'!$B$3,Locations,0)),FALSE))</f>
        <v>0.16500000000000001</v>
      </c>
      <c r="L18" s="160">
        <f>IF(H18="","",ROUNDUP(('Lowest TCO'!$D$3*5)/(VLOOKUP(tco_data!$C18,Data!$H:$J,3,FALSE)),0)*tco_data!$H18)</f>
        <v>825</v>
      </c>
      <c r="M18" s="210">
        <f>IF(OR(H18="",J18="N/A"),"",(5*J18*('Lowest TCO'!$D$3*(IF(RIGHT(D18,2)="BW",1,1-'Lowest TCO'!$F$3)))))</f>
        <v>10560</v>
      </c>
      <c r="N18" s="210">
        <f>IF(OR(H18="",K18="N/A"),"",(5*K18*('Lowest TCO'!$D$3*('Lowest TCO'!$F$3))))</f>
        <v>16500</v>
      </c>
      <c r="O18" s="210">
        <f>IF(L18="","",IF(AND('Lowest TCO'!$H$3&lt;&gt;"All",'Lowest TCO'!$H$3&lt;&gt;tco_data!D18),"",IF(J18="N/A","",IF(AND(RIGHT($D18,2)="BW",'Lowest TCO'!$H$3=0),"",SUM(L18:N18)+I18))))</f>
        <v>28050</v>
      </c>
    </row>
    <row r="19" spans="1:15" ht="18" customHeight="1" x14ac:dyDescent="0.2">
      <c r="A19" s="209" t="str">
        <f>IF(O19="","",IF(AND(tco_data!D19&lt;&gt;'Lowest TCO'!H$3,'Lowest TCO'!H$3&lt;&gt;"All"),"",IF(ISNA(RANK(tco_data!O19,tco_data!O$2:O$129)),"",RANK(tco_data!O19,tco_data!O$2:O$129,1))))</f>
        <v/>
      </c>
      <c r="B19" s="161" t="str">
        <f t="shared" si="0"/>
        <v>MFD-Colour Low Kyocera</v>
      </c>
      <c r="C19" s="51" t="str">
        <f>Lists!L19</f>
        <v>TASKalfa 358ci</v>
      </c>
      <c r="D19" s="39" t="str">
        <f>Lists!M19</f>
        <v>MFD-Colour</v>
      </c>
      <c r="E19" s="40" t="str">
        <f>Lists!N19</f>
        <v>Kyocera</v>
      </c>
      <c r="F19" s="40" t="str">
        <f>Lists!O19</f>
        <v>Low</v>
      </c>
      <c r="G19" s="40">
        <v>2</v>
      </c>
      <c r="H19" s="159">
        <f>IF(C19="Not Offered","",VLOOKUP(C19,Data!$H:$BB,5,FALSE))</f>
        <v>3071.2</v>
      </c>
      <c r="I19" s="159">
        <f>IF(C19="Not Offered","",IF('Lowest TCO'!$B$3="Zone 1 (Perth Metro)",0,VLOOKUP($C19,Data!$H:$BG,43+(MATCH('Lowest TCO'!$B$3,Locations,0)),FALSE)))</f>
        <v>550</v>
      </c>
      <c r="J19" s="28">
        <f>IF(C19="Not Offered","",VLOOKUP($C19,Data!$H:$AL,4+2*(MATCH('Lowest TCO'!$B$3,Locations,0)),FALSE))</f>
        <v>9.9000000000000008E-3</v>
      </c>
      <c r="K19" s="28">
        <f>IF(C19="Not Offered","",VLOOKUP($C19,Data!$H:$AL,5+2*(MATCH('Lowest TCO'!$B$3,Locations,0)),FALSE))</f>
        <v>9.9000000000000005E-2</v>
      </c>
      <c r="L19" s="160">
        <f>IF(H19="","",ROUNDUP(('Lowest TCO'!$D$3*5)/(VLOOKUP(tco_data!$C19,Data!$H:$J,3,FALSE)),0)*tco_data!$H19)</f>
        <v>3071.2</v>
      </c>
      <c r="M19" s="210">
        <f>IF(OR(H19="",J19="N/A"),"",(5*J19*('Lowest TCO'!$D$3*(IF(RIGHT(D19,2)="BW",1,1-'Lowest TCO'!$F$3)))))</f>
        <v>3960</v>
      </c>
      <c r="N19" s="210">
        <f>IF(OR(H19="",K19="N/A"),"",(5*K19*('Lowest TCO'!$D$3*('Lowest TCO'!$F$3))))</f>
        <v>9900</v>
      </c>
      <c r="O19" s="210">
        <f>IF(L19="","",IF(AND('Lowest TCO'!$H$3&lt;&gt;"All",'Lowest TCO'!$H$3&lt;&gt;tco_data!D19),"",IF(J19="N/A","",IF(AND(RIGHT($D19,2)="BW",'Lowest TCO'!$H$3=0),"",SUM(L19:N19)+I19))))</f>
        <v>17481.2</v>
      </c>
    </row>
    <row r="20" spans="1:15" ht="18" customHeight="1" x14ac:dyDescent="0.2">
      <c r="A20" s="209" t="str">
        <f>IF(O20="","",IF(AND(tco_data!D20&lt;&gt;'Lowest TCO'!H$3,'Lowest TCO'!H$3&lt;&gt;"All"),"",IF(ISNA(RANK(tco_data!O20,tco_data!O$2:O$129)),"",RANK(tco_data!O20,tco_data!O$2:O$129,1))))</f>
        <v/>
      </c>
      <c r="B20" s="161" t="str">
        <f t="shared" si="0"/>
        <v>MFD-Colour Low Kyocera</v>
      </c>
      <c r="C20" s="40" t="str">
        <f>Lists!L20</f>
        <v>ECOSYS M8130cidn</v>
      </c>
      <c r="D20" s="39" t="str">
        <f>Lists!M20</f>
        <v>MFD-Colour</v>
      </c>
      <c r="E20" s="40" t="str">
        <f>Lists!N20</f>
        <v>Kyocera</v>
      </c>
      <c r="F20" s="40" t="str">
        <f>Lists!O20</f>
        <v>Low</v>
      </c>
      <c r="G20" s="40">
        <v>3</v>
      </c>
      <c r="H20" s="159">
        <f>IF(C20="Not Offered","",VLOOKUP(C20,Data!$H:$BB,5,FALSE))</f>
        <v>3135</v>
      </c>
      <c r="I20" s="159">
        <f>IF(C20="Not Offered","",IF('Lowest TCO'!$B$3="Zone 1 (Perth Metro)",0,VLOOKUP($C20,Data!$H:$BG,43+(MATCH('Lowest TCO'!$B$3,Locations,0)),FALSE)))</f>
        <v>385</v>
      </c>
      <c r="J20" s="28">
        <f>IF(C20="Not Offered","",VLOOKUP($C20,Data!$H:$AL,4+2*(MATCH('Lowest TCO'!$B$3,Locations,0)),FALSE))</f>
        <v>1.32E-2</v>
      </c>
      <c r="K20" s="28">
        <f>IF(C20="Not Offered","",VLOOKUP($C20,Data!$H:$AL,5+2*(MATCH('Lowest TCO'!$B$3,Locations,0)),FALSE))</f>
        <v>0.13200000000000001</v>
      </c>
      <c r="L20" s="160">
        <f>IF(H20="","",ROUNDUP(('Lowest TCO'!$D$3*5)/(VLOOKUP(tco_data!$C20,Data!$H:$J,3,FALSE)),0)*tco_data!$H20)</f>
        <v>3135</v>
      </c>
      <c r="M20" s="210">
        <f>IF(OR(H20="",J20="N/A"),"",(5*J20*('Lowest TCO'!$D$3*(IF(RIGHT(D20,2)="BW",1,1-'Lowest TCO'!$F$3)))))</f>
        <v>5280</v>
      </c>
      <c r="N20" s="210">
        <f>IF(OR(H20="",K20="N/A"),"",(5*K20*('Lowest TCO'!$D$3*('Lowest TCO'!$F$3))))</f>
        <v>13200</v>
      </c>
      <c r="O20" s="210">
        <f>IF(L20="","",IF(AND('Lowest TCO'!$H$3&lt;&gt;"All",'Lowest TCO'!$H$3&lt;&gt;tco_data!D20),"",IF(J20="N/A","",IF(AND(RIGHT($D20,2)="BW",'Lowest TCO'!$H$3=0),"",SUM(L20:N20)+I20))))</f>
        <v>22000</v>
      </c>
    </row>
    <row r="21" spans="1:15" ht="18" customHeight="1" x14ac:dyDescent="0.2">
      <c r="A21" s="209" t="str">
        <f>IF(O21="","",IF(AND(tco_data!D21&lt;&gt;'Lowest TCO'!H$3,'Lowest TCO'!H$3&lt;&gt;"All"),"",IF(ISNA(RANK(tco_data!O21,tco_data!O$2:O$129)),"",RANK(tco_data!O21,tco_data!O$2:O$129,1))))</f>
        <v/>
      </c>
      <c r="B21" s="161" t="str">
        <f t="shared" si="0"/>
        <v>MFD-Colour Low Kyocera</v>
      </c>
      <c r="C21" s="40" t="str">
        <f>Lists!L21</f>
        <v>TASKalfa 3554ci</v>
      </c>
      <c r="D21" s="39" t="str">
        <f>Lists!M21</f>
        <v>MFD-Colour</v>
      </c>
      <c r="E21" s="40" t="str">
        <f>Lists!N21</f>
        <v>Kyocera</v>
      </c>
      <c r="F21" s="40" t="str">
        <f>Lists!O21</f>
        <v>Low</v>
      </c>
      <c r="G21" s="40">
        <v>4</v>
      </c>
      <c r="H21" s="159">
        <f>IF(C21="Not Offered","",VLOOKUP(C21,Data!$H:$BB,5,FALSE))</f>
        <v>4400</v>
      </c>
      <c r="I21" s="159">
        <f>IF(C21="Not Offered","",IF('Lowest TCO'!$B$3="Zone 1 (Perth Metro)",0,VLOOKUP($C21,Data!$H:$BG,43+(MATCH('Lowest TCO'!$B$3,Locations,0)),FALSE)))</f>
        <v>660</v>
      </c>
      <c r="J21" s="28">
        <f>IF(C21="Not Offered","",VLOOKUP($C21,Data!$H:$AL,4+2*(MATCH('Lowest TCO'!$B$3,Locations,0)),FALSE))</f>
        <v>9.9000000000000008E-3</v>
      </c>
      <c r="K21" s="28">
        <f>IF(C21="Not Offered","",VLOOKUP($C21,Data!$H:$AL,5+2*(MATCH('Lowest TCO'!$B$3,Locations,0)),FALSE))</f>
        <v>9.9000000000000005E-2</v>
      </c>
      <c r="L21" s="160">
        <f>IF(H21="","",ROUNDUP(('Lowest TCO'!$D$3*5)/(VLOOKUP(tco_data!$C21,Data!$H:$J,3,FALSE)),0)*tco_data!$H21)</f>
        <v>4400</v>
      </c>
      <c r="M21" s="210">
        <f>IF(OR(H21="",J21="N/A"),"",(5*J21*('Lowest TCO'!$D$3*(IF(RIGHT(D21,2)="BW",1,1-'Lowest TCO'!$F$3)))))</f>
        <v>3960</v>
      </c>
      <c r="N21" s="210">
        <f>IF(OR(H21="",K21="N/A"),"",(5*K21*('Lowest TCO'!$D$3*('Lowest TCO'!$F$3))))</f>
        <v>9900</v>
      </c>
      <c r="O21" s="210">
        <f>IF(L21="","",IF(AND('Lowest TCO'!$H$3&lt;&gt;"All",'Lowest TCO'!$H$3&lt;&gt;tco_data!D21),"",IF(J21="N/A","",IF(AND(RIGHT($D21,2)="BW",'Lowest TCO'!$H$3=0),"",SUM(L21:N21)+I21))))</f>
        <v>18920</v>
      </c>
    </row>
    <row r="22" spans="1:15" ht="18" customHeight="1" x14ac:dyDescent="0.2">
      <c r="A22" s="209" t="str">
        <f>IF(O22="","",IF(AND(tco_data!D22&lt;&gt;'Lowest TCO'!H$3,'Lowest TCO'!H$3&lt;&gt;"All"),"",IF(ISNA(RANK(tco_data!O22,tco_data!O$2:O$129)),"",RANK(tco_data!O22,tco_data!O$2:O$129,1))))</f>
        <v/>
      </c>
      <c r="B22" s="161" t="str">
        <f t="shared" si="0"/>
        <v>MFD-Colour Low Ricoh</v>
      </c>
      <c r="C22" s="40" t="str">
        <f>Lists!L22</f>
        <v>IM C3010</v>
      </c>
      <c r="D22" s="39" t="str">
        <f>Lists!M22</f>
        <v>MFD-Colour</v>
      </c>
      <c r="E22" s="40" t="str">
        <f>Lists!N22</f>
        <v>Ricoh</v>
      </c>
      <c r="F22" s="40" t="str">
        <f>Lists!O22</f>
        <v>Low</v>
      </c>
      <c r="G22" s="40">
        <v>1</v>
      </c>
      <c r="H22" s="159">
        <f>IF(C22="Not Offered","",VLOOKUP(C22,Data!$H:$BB,5,FALSE))</f>
        <v>4292.24</v>
      </c>
      <c r="I22" s="159">
        <f>IF(C22="Not Offered","",IF('Lowest TCO'!$B$3="Zone 1 (Perth Metro)",0,VLOOKUP($C22,Data!$H:$BG,43+(MATCH('Lowest TCO'!$B$3,Locations,0)),FALSE)))</f>
        <v>1128.0500000000002</v>
      </c>
      <c r="J22" s="28">
        <f>IF(C22="Not Offered","",VLOOKUP($C22,Data!$H:$AL,4+2*(MATCH('Lowest TCO'!$B$3,Locations,0)),FALSE))</f>
        <v>1.1000000000000001E-2</v>
      </c>
      <c r="K22" s="28">
        <f>IF(C22="Not Offered","",VLOOKUP($C22,Data!$H:$AL,5+2*(MATCH('Lowest TCO'!$B$3,Locations,0)),FALSE))</f>
        <v>0.13200000000000001</v>
      </c>
      <c r="L22" s="160">
        <f>IF(H22="","",ROUNDUP(('Lowest TCO'!$D$3*5)/(VLOOKUP(tco_data!$C22,Data!$H:$J,3,FALSE)),0)*tco_data!$H22)</f>
        <v>4292.24</v>
      </c>
      <c r="M22" s="210">
        <f>IF(OR(H22="",J22="N/A"),"",(5*J22*('Lowest TCO'!$D$3*(IF(RIGHT(D22,2)="BW",1,1-'Lowest TCO'!$F$3)))))</f>
        <v>4400.0000000000009</v>
      </c>
      <c r="N22" s="210">
        <f>IF(OR(H22="",K22="N/A"),"",(5*K22*('Lowest TCO'!$D$3*('Lowest TCO'!$F$3))))</f>
        <v>13200</v>
      </c>
      <c r="O22" s="210">
        <f>IF(L22="","",IF(AND('Lowest TCO'!$H$3&lt;&gt;"All",'Lowest TCO'!$H$3&lt;&gt;tco_data!D22),"",IF(J22="N/A","",IF(AND(RIGHT($D22,2)="BW",'Lowest TCO'!$H$3=0),"",SUM(L22:N22)+I22))))</f>
        <v>23020.29</v>
      </c>
    </row>
    <row r="23" spans="1:15" ht="18" customHeight="1" x14ac:dyDescent="0.2">
      <c r="A23" s="209" t="str">
        <f>IF(O23="","",IF(AND(tco_data!D23&lt;&gt;'Lowest TCO'!H$3,'Lowest TCO'!H$3&lt;&gt;"All"),"",IF(ISNA(RANK(tco_data!O23,tco_data!O$2:O$129)),"",RANK(tco_data!O23,tco_data!O$2:O$129,1))))</f>
        <v/>
      </c>
      <c r="B23" s="161" t="str">
        <f t="shared" si="0"/>
        <v>MFD-Colour Low Ricoh</v>
      </c>
      <c r="C23" s="40" t="str">
        <f>Lists!L23</f>
        <v>IM C3510</v>
      </c>
      <c r="D23" s="39" t="str">
        <f>Lists!M23</f>
        <v>MFD-Colour</v>
      </c>
      <c r="E23" s="40" t="str">
        <f>Lists!N23</f>
        <v>Ricoh</v>
      </c>
      <c r="F23" s="40" t="str">
        <f>Lists!O23</f>
        <v>Low</v>
      </c>
      <c r="G23" s="40">
        <v>2</v>
      </c>
      <c r="H23" s="159">
        <f>IF(C23="Not Offered","",VLOOKUP(C23,Data!$H:$BB,5,FALSE))</f>
        <v>4679.53</v>
      </c>
      <c r="I23" s="159">
        <f>IF(C23="Not Offered","",IF('Lowest TCO'!$B$3="Zone 1 (Perth Metro)",0,VLOOKUP($C23,Data!$H:$BG,43+(MATCH('Lowest TCO'!$B$3,Locations,0)),FALSE)))</f>
        <v>1163.9100000000001</v>
      </c>
      <c r="J23" s="28">
        <f>IF(C23="Not Offered","",VLOOKUP($C23,Data!$H:$AL,4+2*(MATCH('Lowest TCO'!$B$3,Locations,0)),FALSE))</f>
        <v>1.1000000000000001E-2</v>
      </c>
      <c r="K23" s="28">
        <f>IF(C23="Not Offered","",VLOOKUP($C23,Data!$H:$AL,5+2*(MATCH('Lowest TCO'!$B$3,Locations,0)),FALSE))</f>
        <v>0.13200000000000001</v>
      </c>
      <c r="L23" s="160">
        <f>IF(H23="","",ROUNDUP(('Lowest TCO'!$D$3*5)/(VLOOKUP(tco_data!$C23,Data!$H:$J,3,FALSE)),0)*tco_data!$H23)</f>
        <v>4679.53</v>
      </c>
      <c r="M23" s="210">
        <f>IF(OR(H23="",J23="N/A"),"",(5*J23*('Lowest TCO'!$D$3*(IF(RIGHT(D23,2)="BW",1,1-'Lowest TCO'!$F$3)))))</f>
        <v>4400.0000000000009</v>
      </c>
      <c r="N23" s="210">
        <f>IF(OR(H23="",K23="N/A"),"",(5*K23*('Lowest TCO'!$D$3*('Lowest TCO'!$F$3))))</f>
        <v>13200</v>
      </c>
      <c r="O23" s="210">
        <f>IF(L23="","",IF(AND('Lowest TCO'!$H$3&lt;&gt;"All",'Lowest TCO'!$H$3&lt;&gt;tco_data!D23),"",IF(J23="N/A","",IF(AND(RIGHT($D23,2)="BW",'Lowest TCO'!$H$3=0),"",SUM(L23:N23)+I23))))</f>
        <v>23443.439999999999</v>
      </c>
    </row>
    <row r="24" spans="1:15" ht="18" customHeight="1" x14ac:dyDescent="0.2">
      <c r="A24" s="209" t="str">
        <f>IF(O24="","",IF(AND(tco_data!D24&lt;&gt;'Lowest TCO'!H$3,'Lowest TCO'!H$3&lt;&gt;"All"),"",IF(ISNA(RANK(tco_data!O24,tco_data!O$2:O$129)),"",RANK(tco_data!O24,tco_data!O$2:O$129,1))))</f>
        <v/>
      </c>
      <c r="B24" s="161" t="str">
        <f t="shared" si="0"/>
        <v>MFD-Colour Low Ricoh</v>
      </c>
      <c r="C24" s="40" t="str">
        <f>Lists!L24</f>
        <v>IM C300F</v>
      </c>
      <c r="D24" s="39" t="str">
        <f>Lists!M24</f>
        <v>MFD-Colour</v>
      </c>
      <c r="E24" s="40" t="str">
        <f>Lists!N24</f>
        <v>Ricoh</v>
      </c>
      <c r="F24" s="40" t="str">
        <f>Lists!O24</f>
        <v>Low</v>
      </c>
      <c r="G24" s="40">
        <v>3</v>
      </c>
      <c r="H24" s="159">
        <f>IF(C24="Not Offered","",VLOOKUP(C24,Data!$H:$BB,5,FALSE))</f>
        <v>2248.8840000000005</v>
      </c>
      <c r="I24" s="159">
        <f>IF(C24="Not Offered","",IF('Lowest TCO'!$B$3="Zone 1 (Perth Metro)",0,VLOOKUP($C24,Data!$H:$BG,43+(MATCH('Lowest TCO'!$B$3,Locations,0)),FALSE)))</f>
        <v>978.23000000000013</v>
      </c>
      <c r="J24" s="28">
        <f>IF(C24="Not Offered","",VLOOKUP($C24,Data!$H:$AL,4+2*(MATCH('Lowest TCO'!$B$3,Locations,0)),FALSE))</f>
        <v>2.2000000000000002E-2</v>
      </c>
      <c r="K24" s="28">
        <f>IF(C24="Not Offered","",VLOOKUP($C24,Data!$H:$AL,5+2*(MATCH('Lowest TCO'!$B$3,Locations,0)),FALSE))</f>
        <v>0.15400000000000003</v>
      </c>
      <c r="L24" s="160">
        <f>IF(H24="","",ROUNDUP(('Lowest TCO'!$D$3*5)/(VLOOKUP(tco_data!$C24,Data!$H:$J,3,FALSE)),0)*tco_data!$H24)</f>
        <v>4497.7680000000009</v>
      </c>
      <c r="M24" s="210">
        <f>IF(OR(H24="",J24="N/A"),"",(5*J24*('Lowest TCO'!$D$3*(IF(RIGHT(D24,2)="BW",1,1-'Lowest TCO'!$F$3)))))</f>
        <v>8800.0000000000018</v>
      </c>
      <c r="N24" s="210">
        <f>IF(OR(H24="",K24="N/A"),"",(5*K24*('Lowest TCO'!$D$3*('Lowest TCO'!$F$3))))</f>
        <v>15400.000000000002</v>
      </c>
      <c r="O24" s="210">
        <f>IF(L24="","",IF(AND('Lowest TCO'!$H$3&lt;&gt;"All",'Lowest TCO'!$H$3&lt;&gt;tco_data!D24),"",IF(J24="N/A","",IF(AND(RIGHT($D24,2)="BW",'Lowest TCO'!$H$3=0),"",SUM(L24:N24)+I24))))</f>
        <v>29675.998000000003</v>
      </c>
    </row>
    <row r="25" spans="1:15" ht="18" customHeight="1" x14ac:dyDescent="0.2">
      <c r="A25" s="209" t="str">
        <f>IF(O25="","",IF(AND(tco_data!D25&lt;&gt;'Lowest TCO'!H$3,'Lowest TCO'!H$3&lt;&gt;"All"),"",IF(ISNA(RANK(tco_data!O25,tco_data!O$2:O$129)),"",RANK(tco_data!O25,tco_data!O$2:O$129,1))))</f>
        <v/>
      </c>
      <c r="B25" s="162" t="str">
        <f t="shared" si="0"/>
        <v>MFD-Colour Low Ricoh</v>
      </c>
      <c r="C25" s="41" t="str">
        <f>Lists!L25</f>
        <v>Not Offered</v>
      </c>
      <c r="D25" s="44" t="str">
        <f>Lists!M25</f>
        <v>MFD-Colour</v>
      </c>
      <c r="E25" s="41" t="str">
        <f>Lists!N25</f>
        <v>Ricoh</v>
      </c>
      <c r="F25" s="41" t="str">
        <f>Lists!O25</f>
        <v>Low</v>
      </c>
      <c r="G25" s="41">
        <v>4</v>
      </c>
      <c r="H25" s="163" t="str">
        <f>IF(C25="Not Offered","",VLOOKUP(C25,Data!$H:$BB,5,FALSE))</f>
        <v/>
      </c>
      <c r="I25" s="163" t="str">
        <f>IF(C25="Not Offered","",IF('Lowest TCO'!$B$3="Zone 1 (Perth Metro)",0,VLOOKUP($C25,Data!$H:$BG,43+(MATCH('Lowest TCO'!$B$3,Locations,0)),FALSE)))</f>
        <v/>
      </c>
      <c r="J25" s="35" t="str">
        <f>IF(C25="Not Offered","",VLOOKUP($C25,Data!$H:$AL,4+2*(MATCH('Lowest TCO'!$B$3,Locations,0)),FALSE))</f>
        <v/>
      </c>
      <c r="K25" s="35" t="str">
        <f>IF(C25="Not Offered","",VLOOKUP($C25,Data!$H:$AL,5+2*(MATCH('Lowest TCO'!$B$3,Locations,0)),FALSE))</f>
        <v/>
      </c>
      <c r="L25" s="164" t="str">
        <f>IF(H25="","",ROUNDUP(('Lowest TCO'!$D$3*5)/(VLOOKUP(tco_data!$C25,Data!$H:$J,3,FALSE)),0)*tco_data!$H25)</f>
        <v/>
      </c>
      <c r="M25" s="211" t="str">
        <f>IF(OR(H25="",J25="N/A"),"",(5*J25*('Lowest TCO'!$D$3*(IF(RIGHT(D25,2)="BW",1,1-'Lowest TCO'!$F$3)))))</f>
        <v/>
      </c>
      <c r="N25" s="211" t="str">
        <f>IF(OR(H25="",K25="N/A"),"",(5*K25*('Lowest TCO'!$D$3*('Lowest TCO'!$F$3))))</f>
        <v/>
      </c>
      <c r="O25" s="210" t="str">
        <f>IF(L25="","",IF(AND('Lowest TCO'!$H$3&lt;&gt;"All",'Lowest TCO'!$H$3&lt;&gt;tco_data!D25),"",IF(J25="N/A","",IF(AND(RIGHT($D25,2)="BW",'Lowest TCO'!$H$3=0),"",SUM(L25:N25)+I25))))</f>
        <v/>
      </c>
    </row>
    <row r="26" spans="1:15" ht="18" customHeight="1" x14ac:dyDescent="0.2">
      <c r="A26" s="209" t="e">
        <f>IF(O26="","",IF(AND(tco_data!D26&lt;&gt;'Lowest TCO'!H$3,'Lowest TCO'!H$3&lt;&gt;"All"),"",IF(ISNA(RANK(tco_data!O26,tco_data!O$2:O$129)),"",RANK(tco_data!O26,tco_data!O$2:O$129,1))))</f>
        <v>#N/A</v>
      </c>
      <c r="B26" s="161" t="str">
        <f t="shared" si="0"/>
        <v>MFD-Colour Medium Fuji Business Innovation</v>
      </c>
      <c r="C26" s="40" t="e">
        <f>Lists!L26</f>
        <v>#N/A</v>
      </c>
      <c r="D26" s="39" t="str">
        <f>Lists!M26</f>
        <v>MFD-Colour</v>
      </c>
      <c r="E26" s="40" t="str">
        <f>Lists!N26</f>
        <v>Fuji Business Innovation</v>
      </c>
      <c r="F26" s="40" t="str">
        <f>Lists!O26</f>
        <v>Medium</v>
      </c>
      <c r="G26" s="40">
        <v>1</v>
      </c>
      <c r="H26" s="159" t="e">
        <f>IF(C26="Not Offered","",VLOOKUP(C26,Data!$H:$BB,5,FALSE))</f>
        <v>#N/A</v>
      </c>
      <c r="I26" s="159" t="e">
        <f>IF(C26="Not Offered","",IF('Lowest TCO'!$B$3="Zone 1 (Perth Metro)",0,VLOOKUP($C26,Data!$H:$BG,43+(MATCH('Lowest TCO'!$B$3,Locations,0)),FALSE)))</f>
        <v>#N/A</v>
      </c>
      <c r="J26" s="28" t="e">
        <f>IF(C26="Not Offered","",VLOOKUP($C26,Data!$H:$AL,4+2*(MATCH('Lowest TCO'!$B$3,Locations,0)),FALSE))</f>
        <v>#N/A</v>
      </c>
      <c r="K26" s="28" t="e">
        <f>IF(C26="Not Offered","",VLOOKUP($C26,Data!$H:$AL,5+2*(MATCH('Lowest TCO'!$B$3,Locations,0)),FALSE))</f>
        <v>#N/A</v>
      </c>
      <c r="L26" s="160" t="e">
        <f>IF(H26="","",ROUNDUP(('Lowest TCO'!$D$3*5)/(VLOOKUP(tco_data!$C26,Data!$H:$J,3,FALSE)),0)*tco_data!$H26)</f>
        <v>#N/A</v>
      </c>
      <c r="M26" s="210" t="e">
        <f>IF(OR(H26="",J26="N/A"),"",(5*J26*('Lowest TCO'!$D$3*(IF(RIGHT(D26,2)="BW",1,1-'Lowest TCO'!$F$3)))))</f>
        <v>#N/A</v>
      </c>
      <c r="N26" s="210" t="e">
        <f>IF(OR(H26="",K26="N/A"),"",(5*K26*('Lowest TCO'!$D$3*('Lowest TCO'!$F$3))))</f>
        <v>#N/A</v>
      </c>
      <c r="O26" s="210" t="e">
        <f>IF(L26="","",IF(AND('Lowest TCO'!$H$3&lt;&gt;"All",'Lowest TCO'!$H$3&lt;&gt;tco_data!D26),"",IF(J26="N/A","",IF(AND(RIGHT($D26,2)="BW",'Lowest TCO'!$H$3=0),"",SUM(L26:N26)+I26))))</f>
        <v>#N/A</v>
      </c>
    </row>
    <row r="27" spans="1:15" ht="18" customHeight="1" x14ac:dyDescent="0.2">
      <c r="A27" s="209" t="e">
        <f>IF(O27="","",IF(AND(tco_data!D27&lt;&gt;'Lowest TCO'!H$3,'Lowest TCO'!H$3&lt;&gt;"All"),"",IF(ISNA(RANK(tco_data!O27,tco_data!O$2:O$129)),"",RANK(tco_data!O27,tco_data!O$2:O$129,1))))</f>
        <v>#N/A</v>
      </c>
      <c r="B27" s="161" t="str">
        <f t="shared" si="0"/>
        <v>MFD-Colour Medium Fuji Business Innovation</v>
      </c>
      <c r="C27" s="40" t="e">
        <f>Lists!L27</f>
        <v>#N/A</v>
      </c>
      <c r="D27" s="39" t="str">
        <f>Lists!M27</f>
        <v>MFD-Colour</v>
      </c>
      <c r="E27" s="40" t="str">
        <f>Lists!N27</f>
        <v>Fuji Business Innovation</v>
      </c>
      <c r="F27" s="40" t="str">
        <f>Lists!O27</f>
        <v>Medium</v>
      </c>
      <c r="G27" s="40">
        <v>2</v>
      </c>
      <c r="H27" s="159" t="e">
        <f>IF(C27="Not Offered","",VLOOKUP(C27,Data!$H:$BB,5,FALSE))</f>
        <v>#N/A</v>
      </c>
      <c r="I27" s="159" t="e">
        <f>IF(C27="Not Offered","",IF('Lowest TCO'!$B$3="Zone 1 (Perth Metro)",0,VLOOKUP($C27,Data!$H:$BG,43+(MATCH('Lowest TCO'!$B$3,Locations,0)),FALSE)))</f>
        <v>#N/A</v>
      </c>
      <c r="J27" s="28" t="e">
        <f>IF(C27="Not Offered","",VLOOKUP($C27,Data!$H:$AL,4+2*(MATCH('Lowest TCO'!$B$3,Locations,0)),FALSE))</f>
        <v>#N/A</v>
      </c>
      <c r="K27" s="28" t="e">
        <f>IF(C27="Not Offered","",VLOOKUP($C27,Data!$H:$AL,5+2*(MATCH('Lowest TCO'!$B$3,Locations,0)),FALSE))</f>
        <v>#N/A</v>
      </c>
      <c r="L27" s="160" t="e">
        <f>IF(H27="","",ROUNDUP(('Lowest TCO'!$D$3*5)/(VLOOKUP(tco_data!$C27,Data!$H:$J,3,FALSE)),0)*tco_data!$H27)</f>
        <v>#N/A</v>
      </c>
      <c r="M27" s="210" t="e">
        <f>IF(OR(H27="",J27="N/A"),"",(5*J27*('Lowest TCO'!$D$3*(IF(RIGHT(D27,2)="BW",1,1-'Lowest TCO'!$F$3)))))</f>
        <v>#N/A</v>
      </c>
      <c r="N27" s="210" t="e">
        <f>IF(OR(H27="",K27="N/A"),"",(5*K27*('Lowest TCO'!$D$3*('Lowest TCO'!$F$3))))</f>
        <v>#N/A</v>
      </c>
      <c r="O27" s="210" t="e">
        <f>IF(L27="","",IF(AND('Lowest TCO'!$H$3&lt;&gt;"All",'Lowest TCO'!$H$3&lt;&gt;tco_data!D27),"",IF(J27="N/A","",IF(AND(RIGHT($D27,2)="BW",'Lowest TCO'!$H$3=0),"",SUM(L27:N27)+I27))))</f>
        <v>#N/A</v>
      </c>
    </row>
    <row r="28" spans="1:15" ht="18" customHeight="1" x14ac:dyDescent="0.2">
      <c r="A28" s="209" t="e">
        <f>IF(O28="","",IF(AND(tco_data!D28&lt;&gt;'Lowest TCO'!H$3,'Lowest TCO'!H$3&lt;&gt;"All"),"",IF(ISNA(RANK(tco_data!O28,tco_data!O$2:O$129)),"",RANK(tco_data!O28,tco_data!O$2:O$129,1))))</f>
        <v>#N/A</v>
      </c>
      <c r="B28" s="161" t="str">
        <f t="shared" si="0"/>
        <v>MFD-Colour Medium Fuji Business Innovation</v>
      </c>
      <c r="C28" s="40" t="e">
        <f>Lists!L28</f>
        <v>#N/A</v>
      </c>
      <c r="D28" s="39" t="str">
        <f>Lists!M28</f>
        <v>MFD-Colour</v>
      </c>
      <c r="E28" s="40" t="str">
        <f>Lists!N28</f>
        <v>Fuji Business Innovation</v>
      </c>
      <c r="F28" s="40" t="str">
        <f>Lists!O28</f>
        <v>Medium</v>
      </c>
      <c r="G28" s="40">
        <v>3</v>
      </c>
      <c r="H28" s="159" t="e">
        <f>IF(C28="Not Offered","",VLOOKUP(C28,Data!$H:$BB,5,FALSE))</f>
        <v>#N/A</v>
      </c>
      <c r="I28" s="159" t="e">
        <f>IF(C28="Not Offered","",IF('Lowest TCO'!$B$3="Zone 1 (Perth Metro)",0,VLOOKUP($C28,Data!$H:$BG,43+(MATCH('Lowest TCO'!$B$3,Locations,0)),FALSE)))</f>
        <v>#N/A</v>
      </c>
      <c r="J28" s="28" t="e">
        <f>IF(C28="Not Offered","",VLOOKUP($C28,Data!$H:$AL,4+2*(MATCH('Lowest TCO'!$B$3,Locations,0)),FALSE))</f>
        <v>#N/A</v>
      </c>
      <c r="K28" s="28" t="e">
        <f>IF(C28="Not Offered","",VLOOKUP($C28,Data!$H:$AL,5+2*(MATCH('Lowest TCO'!$B$3,Locations,0)),FALSE))</f>
        <v>#N/A</v>
      </c>
      <c r="L28" s="160" t="e">
        <f>IF(H28="","",ROUNDUP(('Lowest TCO'!$D$3*5)/(VLOOKUP(tco_data!$C28,Data!$H:$J,3,FALSE)),0)*tco_data!$H28)</f>
        <v>#N/A</v>
      </c>
      <c r="M28" s="210" t="e">
        <f>IF(OR(H28="",J28="N/A"),"",(5*J28*('Lowest TCO'!$D$3*(IF(RIGHT(D28,2)="BW",1,1-'Lowest TCO'!$F$3)))))</f>
        <v>#N/A</v>
      </c>
      <c r="N28" s="210" t="e">
        <f>IF(OR(H28="",K28="N/A"),"",(5*K28*('Lowest TCO'!$D$3*('Lowest TCO'!$F$3))))</f>
        <v>#N/A</v>
      </c>
      <c r="O28" s="210" t="e">
        <f>IF(L28="","",IF(AND('Lowest TCO'!$H$3&lt;&gt;"All",'Lowest TCO'!$H$3&lt;&gt;tco_data!D28),"",IF(J28="N/A","",IF(AND(RIGHT($D28,2)="BW",'Lowest TCO'!$H$3=0),"",SUM(L28:N28)+I28))))</f>
        <v>#N/A</v>
      </c>
    </row>
    <row r="29" spans="1:15" ht="18" customHeight="1" x14ac:dyDescent="0.2">
      <c r="A29" s="209" t="e">
        <f>IF(O29="","",IF(AND(tco_data!D29&lt;&gt;'Lowest TCO'!H$3,'Lowest TCO'!H$3&lt;&gt;"All"),"",IF(ISNA(RANK(tco_data!O29,tco_data!O$2:O$129)),"",RANK(tco_data!O29,tco_data!O$2:O$129,1))))</f>
        <v>#N/A</v>
      </c>
      <c r="B29" s="161" t="str">
        <f t="shared" si="0"/>
        <v>MFD-Colour Medium Fuji Business Innovation</v>
      </c>
      <c r="C29" s="40" t="e">
        <f>Lists!L29</f>
        <v>#N/A</v>
      </c>
      <c r="D29" s="39" t="str">
        <f>Lists!M29</f>
        <v>MFD-Colour</v>
      </c>
      <c r="E29" s="40" t="str">
        <f>Lists!N29</f>
        <v>Fuji Business Innovation</v>
      </c>
      <c r="F29" s="40" t="str">
        <f>Lists!O29</f>
        <v>Medium</v>
      </c>
      <c r="G29" s="40">
        <v>4</v>
      </c>
      <c r="H29" s="159" t="e">
        <f>IF(C29="Not Offered","",VLOOKUP(C29,Data!$H:$BB,5,FALSE))</f>
        <v>#N/A</v>
      </c>
      <c r="I29" s="159" t="e">
        <f>IF(C29="Not Offered","",IF('Lowest TCO'!$B$3="Zone 1 (Perth Metro)",0,VLOOKUP($C29,Data!$H:$BG,43+(MATCH('Lowest TCO'!$B$3,Locations,0)),FALSE)))</f>
        <v>#N/A</v>
      </c>
      <c r="J29" s="28" t="e">
        <f>IF(C29="Not Offered","",VLOOKUP($C29,Data!$H:$AL,4+2*(MATCH('Lowest TCO'!$B$3,Locations,0)),FALSE))</f>
        <v>#N/A</v>
      </c>
      <c r="K29" s="28" t="e">
        <f>IF(C29="Not Offered","",VLOOKUP($C29,Data!$H:$AL,5+2*(MATCH('Lowest TCO'!$B$3,Locations,0)),FALSE))</f>
        <v>#N/A</v>
      </c>
      <c r="L29" s="160" t="e">
        <f>IF(H29="","",ROUNDUP(('Lowest TCO'!$D$3*5)/(VLOOKUP(tco_data!$C29,Data!$H:$J,3,FALSE)),0)*tco_data!$H29)</f>
        <v>#N/A</v>
      </c>
      <c r="M29" s="210" t="e">
        <f>IF(OR(H29="",J29="N/A"),"",(5*J29*('Lowest TCO'!$D$3*(IF(RIGHT(D29,2)="BW",1,1-'Lowest TCO'!$F$3)))))</f>
        <v>#N/A</v>
      </c>
      <c r="N29" s="210" t="e">
        <f>IF(OR(H29="",K29="N/A"),"",(5*K29*('Lowest TCO'!$D$3*('Lowest TCO'!$F$3))))</f>
        <v>#N/A</v>
      </c>
      <c r="O29" s="210" t="e">
        <f>IF(L29="","",IF(AND('Lowest TCO'!$H$3&lt;&gt;"All",'Lowest TCO'!$H$3&lt;&gt;tco_data!D29),"",IF(J29="N/A","",IF(AND(RIGHT($D29,2)="BW",'Lowest TCO'!$H$3=0),"",SUM(L29:N29)+I29))))</f>
        <v>#N/A</v>
      </c>
    </row>
    <row r="30" spans="1:15" ht="18" customHeight="1" x14ac:dyDescent="0.2">
      <c r="A30" s="209" t="str">
        <f>IF(O30="","",IF(AND(tco_data!D30&lt;&gt;'Lowest TCO'!H$3,'Lowest TCO'!H$3&lt;&gt;"All"),"",IF(ISNA(RANK(tco_data!O30,tco_data!O$2:O$129)),"",RANK(tco_data!O30,tco_data!O$2:O$129,1))))</f>
        <v/>
      </c>
      <c r="B30" s="161" t="str">
        <f t="shared" si="0"/>
        <v>MFD-Colour Medium Konica Minolta</v>
      </c>
      <c r="C30" s="40" t="str">
        <f>Lists!L30</f>
        <v>bizhub C450i</v>
      </c>
      <c r="D30" s="39" t="str">
        <f>Lists!M30</f>
        <v>MFD-Colour</v>
      </c>
      <c r="E30" s="40" t="str">
        <f>Lists!N30</f>
        <v>Konica Minolta</v>
      </c>
      <c r="F30" s="40" t="str">
        <f>Lists!O30</f>
        <v>Medium</v>
      </c>
      <c r="G30" s="40">
        <v>1</v>
      </c>
      <c r="H30" s="159">
        <f>IF(C30="Not Offered","",VLOOKUP(C30,Data!$H:$BB,5,FALSE))</f>
        <v>5546.6125000000002</v>
      </c>
      <c r="I30" s="159">
        <f>IF(C30="Not Offered","",IF('Lowest TCO'!$B$3="Zone 1 (Perth Metro)",0,VLOOKUP($C30,Data!$H:$BG,43+(MATCH('Lowest TCO'!$B$3,Locations,0)),FALSE)))</f>
        <v>1001</v>
      </c>
      <c r="J30" s="28">
        <f>IF(C30="Not Offered","",VLOOKUP($C30,Data!$H:$AL,4+2*(MATCH('Lowest TCO'!$B$3,Locations,0)),FALSE))</f>
        <v>1.0999999999999999E-2</v>
      </c>
      <c r="K30" s="28">
        <f>IF(C30="Not Offered","",VLOOKUP($C30,Data!$H:$AL,5+2*(MATCH('Lowest TCO'!$B$3,Locations,0)),FALSE))</f>
        <v>8.7999999999999995E-2</v>
      </c>
      <c r="L30" s="160">
        <f>IF(H30="","",ROUNDUP(('Lowest TCO'!$D$3*5)/(VLOOKUP(tco_data!$C30,Data!$H:$J,3,FALSE)),0)*tco_data!$H30)</f>
        <v>5546.6125000000002</v>
      </c>
      <c r="M30" s="210">
        <f>IF(OR(H30="",J30="N/A"),"",(5*J30*('Lowest TCO'!$D$3*(IF(RIGHT(D30,2)="BW",1,1-'Lowest TCO'!$F$3)))))</f>
        <v>4399.9999999999991</v>
      </c>
      <c r="N30" s="210">
        <f>IF(OR(H30="",K30="N/A"),"",(5*K30*('Lowest TCO'!$D$3*('Lowest TCO'!$F$3))))</f>
        <v>8799.9999999999982</v>
      </c>
      <c r="O30" s="210">
        <f>IF(L30="","",IF(AND('Lowest TCO'!$H$3&lt;&gt;"All",'Lowest TCO'!$H$3&lt;&gt;tco_data!D30),"",IF(J30="N/A","",IF(AND(RIGHT($D30,2)="BW",'Lowest TCO'!$H$3=0),"",SUM(L30:N30)+I30))))</f>
        <v>19747.612499999996</v>
      </c>
    </row>
    <row r="31" spans="1:15" ht="18" customHeight="1" x14ac:dyDescent="0.2">
      <c r="A31" s="209" t="str">
        <f>IF(O31="","",IF(AND(tco_data!D31&lt;&gt;'Lowest TCO'!H$3,'Lowest TCO'!H$3&lt;&gt;"All"),"",IF(ISNA(RANK(tco_data!O31,tco_data!O$2:O$129)),"",RANK(tco_data!O31,tco_data!O$2:O$129,1))))</f>
        <v/>
      </c>
      <c r="B31" s="161" t="str">
        <f t="shared" si="0"/>
        <v>MFD-Colour Medium Konica Minolta</v>
      </c>
      <c r="C31" s="40" t="str">
        <f>Lists!L31</f>
        <v>bizhub C550i</v>
      </c>
      <c r="D31" s="39" t="str">
        <f>Lists!M31</f>
        <v>MFD-Colour</v>
      </c>
      <c r="E31" s="40" t="str">
        <f>Lists!N31</f>
        <v>Konica Minolta</v>
      </c>
      <c r="F31" s="40" t="str">
        <f>Lists!O31</f>
        <v>Medium</v>
      </c>
      <c r="G31" s="40">
        <v>2</v>
      </c>
      <c r="H31" s="159">
        <f>IF(C31="Not Offered","",VLOOKUP(C31,Data!$H:$BB,5,FALSE))</f>
        <v>6488.2125000000005</v>
      </c>
      <c r="I31" s="159">
        <f>IF(C31="Not Offered","",IF('Lowest TCO'!$B$3="Zone 1 (Perth Metro)",0,VLOOKUP($C31,Data!$H:$BG,43+(MATCH('Lowest TCO'!$B$3,Locations,0)),FALSE)))</f>
        <v>1441</v>
      </c>
      <c r="J31" s="28">
        <f>IF(C31="Not Offered","",VLOOKUP($C31,Data!$H:$AL,4+2*(MATCH('Lowest TCO'!$B$3,Locations,0)),FALSE))</f>
        <v>1.21E-2</v>
      </c>
      <c r="K31" s="28">
        <f>IF(C31="Not Offered","",VLOOKUP($C31,Data!$H:$AL,5+2*(MATCH('Lowest TCO'!$B$3,Locations,0)),FALSE))</f>
        <v>0.121</v>
      </c>
      <c r="L31" s="160">
        <f>IF(H31="","",ROUNDUP(('Lowest TCO'!$D$3*5)/(VLOOKUP(tco_data!$C31,Data!$H:$J,3,FALSE)),0)*tco_data!$H31)</f>
        <v>6488.2125000000005</v>
      </c>
      <c r="M31" s="210">
        <f>IF(OR(H31="",J31="N/A"),"",(5*J31*('Lowest TCO'!$D$3*(IF(RIGHT(D31,2)="BW",1,1-'Lowest TCO'!$F$3)))))</f>
        <v>4840</v>
      </c>
      <c r="N31" s="210">
        <f>IF(OR(H31="",K31="N/A"),"",(5*K31*('Lowest TCO'!$D$3*('Lowest TCO'!$F$3))))</f>
        <v>12100</v>
      </c>
      <c r="O31" s="210">
        <f>IF(L31="","",IF(AND('Lowest TCO'!$H$3&lt;&gt;"All",'Lowest TCO'!$H$3&lt;&gt;tco_data!D31),"",IF(J31="N/A","",IF(AND(RIGHT($D31,2)="BW",'Lowest TCO'!$H$3=0),"",SUM(L31:N31)+I31))))</f>
        <v>24869.212500000001</v>
      </c>
    </row>
    <row r="32" spans="1:15" ht="18" customHeight="1" x14ac:dyDescent="0.2">
      <c r="A32" s="209" t="str">
        <f>IF(O32="","",IF(AND(tco_data!D32&lt;&gt;'Lowest TCO'!H$3,'Lowest TCO'!H$3&lt;&gt;"All"),"",IF(ISNA(RANK(tco_data!O32,tco_data!O$2:O$129)),"",RANK(tco_data!O32,tco_data!O$2:O$129,1))))</f>
        <v/>
      </c>
      <c r="B32" s="162" t="str">
        <f t="shared" si="0"/>
        <v>MFD-Colour Medium Konica Minolta</v>
      </c>
      <c r="C32" s="41" t="str">
        <f>Lists!L32</f>
        <v>bizhub C4051i</v>
      </c>
      <c r="D32" s="44" t="str">
        <f>Lists!M32</f>
        <v>MFD-Colour</v>
      </c>
      <c r="E32" s="41" t="str">
        <f>Lists!N32</f>
        <v>Konica Minolta</v>
      </c>
      <c r="F32" s="41" t="str">
        <f>Lists!O32</f>
        <v>Medium</v>
      </c>
      <c r="G32" s="41">
        <v>3</v>
      </c>
      <c r="H32" s="163">
        <f>IF(C32="Not Offered","",VLOOKUP(C32,Data!$H:$BB,5,FALSE))</f>
        <v>2883.65</v>
      </c>
      <c r="I32" s="163">
        <f>IF(C32="Not Offered","",IF('Lowest TCO'!$B$3="Zone 1 (Perth Metro)",0,VLOOKUP($C32,Data!$H:$BG,43+(MATCH('Lowest TCO'!$B$3,Locations,0)),FALSE)))</f>
        <v>1001</v>
      </c>
      <c r="J32" s="35">
        <f>IF(C32="Not Offered","",VLOOKUP($C32,Data!$H:$AL,4+2*(MATCH('Lowest TCO'!$B$3,Locations,0)),FALSE))</f>
        <v>2.75E-2</v>
      </c>
      <c r="K32" s="35">
        <f>IF(C32="Not Offered","",VLOOKUP($C32,Data!$H:$AL,5+2*(MATCH('Lowest TCO'!$B$3,Locations,0)),FALSE))</f>
        <v>0.17599999999999999</v>
      </c>
      <c r="L32" s="164">
        <f>IF(H32="","",ROUNDUP(('Lowest TCO'!$D$3*5)/(VLOOKUP(tco_data!$C32,Data!$H:$J,3,FALSE)),0)*tco_data!$H32)</f>
        <v>5767.3</v>
      </c>
      <c r="M32" s="211">
        <f>IF(OR(H32="",J32="N/A"),"",(5*J32*('Lowest TCO'!$D$3*(IF(RIGHT(D32,2)="BW",1,1-'Lowest TCO'!$F$3)))))</f>
        <v>11000</v>
      </c>
      <c r="N32" s="211">
        <f>IF(OR(H32="",K32="N/A"),"",(5*K32*('Lowest TCO'!$D$3*('Lowest TCO'!$F$3))))</f>
        <v>17599.999999999996</v>
      </c>
      <c r="O32" s="210">
        <f>IF(L32="","",IF(AND('Lowest TCO'!$H$3&lt;&gt;"All",'Lowest TCO'!$H$3&lt;&gt;tco_data!D32),"",IF(J32="N/A","",IF(AND(RIGHT($D32,2)="BW",'Lowest TCO'!$H$3=0),"",SUM(L32:N32)+I32))))</f>
        <v>35368.299999999996</v>
      </c>
    </row>
    <row r="33" spans="1:15" ht="18" customHeight="1" x14ac:dyDescent="0.2">
      <c r="A33" s="209" t="str">
        <f>IF(O33="","",IF(AND(tco_data!D33&lt;&gt;'Lowest TCO'!H$3,'Lowest TCO'!H$3&lt;&gt;"All"),"",IF(ISNA(RANK(tco_data!O33,tco_data!O$2:O$129)),"",RANK(tco_data!O33,tco_data!O$2:O$129,1))))</f>
        <v/>
      </c>
      <c r="B33" s="162" t="str">
        <f t="shared" si="0"/>
        <v>MFD-Colour Medium Konica Minolta</v>
      </c>
      <c r="C33" s="41" t="str">
        <f>Lists!L33</f>
        <v>Not Offered</v>
      </c>
      <c r="D33" s="44" t="str">
        <f>Lists!M33</f>
        <v>MFD-Colour</v>
      </c>
      <c r="E33" s="41" t="str">
        <f>Lists!N33</f>
        <v>Konica Minolta</v>
      </c>
      <c r="F33" s="41" t="str">
        <f>Lists!O33</f>
        <v>Medium</v>
      </c>
      <c r="G33" s="41">
        <v>4</v>
      </c>
      <c r="H33" s="163" t="str">
        <f>IF(C33="Not Offered","",VLOOKUP(C33,Data!$H:$BB,5,FALSE))</f>
        <v/>
      </c>
      <c r="I33" s="163" t="str">
        <f>IF(C33="Not Offered","",IF('Lowest TCO'!$B$3="Zone 1 (Perth Metro)",0,VLOOKUP($C33,Data!$H:$BG,43+(MATCH('Lowest TCO'!$B$3,Locations,0)),FALSE)))</f>
        <v/>
      </c>
      <c r="J33" s="35" t="str">
        <f>IF(C33="Not Offered","",VLOOKUP($C33,Data!$H:$AL,4+2*(MATCH('Lowest TCO'!$B$3,Locations,0)),FALSE))</f>
        <v/>
      </c>
      <c r="K33" s="35" t="str">
        <f>IF(C33="Not Offered","",VLOOKUP($C33,Data!$H:$AL,5+2*(MATCH('Lowest TCO'!$B$3,Locations,0)),FALSE))</f>
        <v/>
      </c>
      <c r="L33" s="164" t="str">
        <f>IF(H33="","",ROUNDUP(('Lowest TCO'!$D$3*5)/(VLOOKUP(tco_data!$C33,Data!$H:$J,3,FALSE)),0)*tco_data!$H33)</f>
        <v/>
      </c>
      <c r="M33" s="211" t="str">
        <f>IF(OR(H33="",J33="N/A"),"",(5*J33*('Lowest TCO'!$D$3*(IF(RIGHT(D33,2)="BW",1,1-'Lowest TCO'!$F$3)))))</f>
        <v/>
      </c>
      <c r="N33" s="211" t="str">
        <f>IF(OR(H33="",K33="N/A"),"",(5*K33*('Lowest TCO'!$D$3*('Lowest TCO'!$F$3))))</f>
        <v/>
      </c>
      <c r="O33" s="210" t="str">
        <f>IF(L33="","",IF(AND('Lowest TCO'!$H$3&lt;&gt;"All",'Lowest TCO'!$H$3&lt;&gt;tco_data!D33),"",IF(J33="N/A","",IF(AND(RIGHT($D33,2)="BW",'Lowest TCO'!$H$3=0),"",SUM(L33:N33)+I33))))</f>
        <v/>
      </c>
    </row>
    <row r="34" spans="1:15" ht="18" customHeight="1" x14ac:dyDescent="0.2">
      <c r="A34" s="209" t="str">
        <f>IF(O34="","",IF(AND(tco_data!D34&lt;&gt;'Lowest TCO'!H$3,'Lowest TCO'!H$3&lt;&gt;"All"),"",IF(ISNA(RANK(tco_data!O34,tco_data!O$2:O$129)),"",RANK(tco_data!O34,tco_data!O$2:O$129,1))))</f>
        <v/>
      </c>
      <c r="B34" s="161" t="str">
        <f t="shared" si="0"/>
        <v>MFD-Colour Medium Kyocera</v>
      </c>
      <c r="C34" s="40" t="str">
        <f>Lists!L34</f>
        <v>TASKalfa 408ci</v>
      </c>
      <c r="D34" s="39" t="str">
        <f>Lists!M34</f>
        <v>MFD-Colour</v>
      </c>
      <c r="E34" s="40" t="str">
        <f>Lists!N34</f>
        <v>Kyocera</v>
      </c>
      <c r="F34" s="40" t="str">
        <f>Lists!O34</f>
        <v>Medium</v>
      </c>
      <c r="G34" s="40">
        <v>1</v>
      </c>
      <c r="H34" s="159">
        <f>IF(C34="Not Offered","",VLOOKUP(C34,Data!$H:$BB,5,FALSE))</f>
        <v>3668.5</v>
      </c>
      <c r="I34" s="159">
        <f>IF(C34="Not Offered","",IF('Lowest TCO'!$B$3="Zone 1 (Perth Metro)",0,VLOOKUP($C34,Data!$H:$BG,43+(MATCH('Lowest TCO'!$B$3,Locations,0)),FALSE)))</f>
        <v>550</v>
      </c>
      <c r="J34" s="28">
        <f>IF(C34="Not Offered","",VLOOKUP($C34,Data!$H:$AL,4+2*(MATCH('Lowest TCO'!$B$3,Locations,0)),FALSE))</f>
        <v>9.9000000000000008E-3</v>
      </c>
      <c r="K34" s="28">
        <f>IF(C34="Not Offered","",VLOOKUP($C34,Data!$H:$AL,5+2*(MATCH('Lowest TCO'!$B$3,Locations,0)),FALSE))</f>
        <v>9.9000000000000005E-2</v>
      </c>
      <c r="L34" s="160">
        <f>IF(H34="","",ROUNDUP(('Lowest TCO'!$D$3*5)/(VLOOKUP(tco_data!$C34,Data!$H:$J,3,FALSE)),0)*tco_data!$H34)</f>
        <v>3668.5</v>
      </c>
      <c r="M34" s="210">
        <f>IF(OR(H34="",J34="N/A"),"",(5*J34*('Lowest TCO'!$D$3*(IF(RIGHT(D34,2)="BW",1,1-'Lowest TCO'!$F$3)))))</f>
        <v>3960</v>
      </c>
      <c r="N34" s="210">
        <f>IF(OR(H34="",K34="N/A"),"",(5*K34*('Lowest TCO'!$D$3*('Lowest TCO'!$F$3))))</f>
        <v>9900</v>
      </c>
      <c r="O34" s="210">
        <f>IF(L34="","",IF(AND('Lowest TCO'!$H$3&lt;&gt;"All",'Lowest TCO'!$H$3&lt;&gt;tco_data!D34),"",IF(J34="N/A","",IF(AND(RIGHT($D34,2)="BW",'Lowest TCO'!$H$3=0),"",SUM(L34:N34)+I34))))</f>
        <v>18078.5</v>
      </c>
    </row>
    <row r="35" spans="1:15" ht="18" customHeight="1" x14ac:dyDescent="0.2">
      <c r="A35" s="209" t="str">
        <f>IF(O35="","",IF(AND(tco_data!D35&lt;&gt;'Lowest TCO'!H$3,'Lowest TCO'!H$3&lt;&gt;"All"),"",IF(ISNA(RANK(tco_data!O35,tco_data!O$2:O$129)),"",RANK(tco_data!O35,tco_data!O$2:O$129,1))))</f>
        <v/>
      </c>
      <c r="B35" s="161" t="str">
        <f t="shared" si="0"/>
        <v>MFD-Colour Medium Kyocera</v>
      </c>
      <c r="C35" s="40" t="str">
        <f>Lists!L35</f>
        <v>TASKalfa 4054ci</v>
      </c>
      <c r="D35" s="39" t="str">
        <f>Lists!M35</f>
        <v>MFD-Colour</v>
      </c>
      <c r="E35" s="40" t="str">
        <f>Lists!N35</f>
        <v>Kyocera</v>
      </c>
      <c r="F35" s="40" t="str">
        <f>Lists!O35</f>
        <v>Medium</v>
      </c>
      <c r="G35" s="40">
        <v>2</v>
      </c>
      <c r="H35" s="159">
        <f>IF(C35="Not Offered","",VLOOKUP(C35,Data!$H:$BB,5,FALSE))</f>
        <v>5186.5</v>
      </c>
      <c r="I35" s="159">
        <f>IF(C35="Not Offered","",IF('Lowest TCO'!$B$3="Zone 1 (Perth Metro)",0,VLOOKUP($C35,Data!$H:$BG,43+(MATCH('Lowest TCO'!$B$3,Locations,0)),FALSE)))</f>
        <v>770</v>
      </c>
      <c r="J35" s="28">
        <f>IF(C35="Not Offered","",VLOOKUP($C35,Data!$H:$AL,4+2*(MATCH('Lowest TCO'!$B$3,Locations,0)),FALSE))</f>
        <v>9.9000000000000008E-3</v>
      </c>
      <c r="K35" s="28">
        <f>IF(C35="Not Offered","",VLOOKUP($C35,Data!$H:$AL,5+2*(MATCH('Lowest TCO'!$B$3,Locations,0)),FALSE))</f>
        <v>9.9000000000000005E-2</v>
      </c>
      <c r="L35" s="160">
        <f>IF(H35="","",ROUNDUP(('Lowest TCO'!$D$3*5)/(VLOOKUP(tco_data!$C35,Data!$H:$J,3,FALSE)),0)*tco_data!$H35)</f>
        <v>5186.5</v>
      </c>
      <c r="M35" s="210">
        <f>IF(OR(H35="",J35="N/A"),"",(5*J35*('Lowest TCO'!$D$3*(IF(RIGHT(D35,2)="BW",1,1-'Lowest TCO'!$F$3)))))</f>
        <v>3960</v>
      </c>
      <c r="N35" s="210">
        <f>IF(OR(H35="",K35="N/A"),"",(5*K35*('Lowest TCO'!$D$3*('Lowest TCO'!$F$3))))</f>
        <v>9900</v>
      </c>
      <c r="O35" s="210">
        <f>IF(L35="","",IF(AND('Lowest TCO'!$H$3&lt;&gt;"All",'Lowest TCO'!$H$3&lt;&gt;tco_data!D35),"",IF(J35="N/A","",IF(AND(RIGHT($D35,2)="BW",'Lowest TCO'!$H$3=0),"",SUM(L35:N35)+I35))))</f>
        <v>19816.5</v>
      </c>
    </row>
    <row r="36" spans="1:15" ht="18" customHeight="1" x14ac:dyDescent="0.2">
      <c r="A36" s="209" t="str">
        <f>IF(O36="","",IF(AND(tco_data!D36&lt;&gt;'Lowest TCO'!H$3,'Lowest TCO'!H$3&lt;&gt;"All"),"",IF(ISNA(RANK(tco_data!O36,tco_data!O$2:O$129)),"",RANK(tco_data!O36,tco_data!O$2:O$129,1))))</f>
        <v/>
      </c>
      <c r="B36" s="161" t="str">
        <f t="shared" si="0"/>
        <v>MFD-Colour Medium Kyocera</v>
      </c>
      <c r="C36" s="40" t="str">
        <f>Lists!L36</f>
        <v>TASKalfa 5054ci</v>
      </c>
      <c r="D36" s="39" t="str">
        <f>Lists!M36</f>
        <v>MFD-Colour</v>
      </c>
      <c r="E36" s="40" t="str">
        <f>Lists!N36</f>
        <v>Kyocera</v>
      </c>
      <c r="F36" s="40" t="str">
        <f>Lists!O36</f>
        <v>Medium</v>
      </c>
      <c r="G36" s="40">
        <v>3</v>
      </c>
      <c r="H36" s="159">
        <f>IF(C36="Not Offered","",VLOOKUP(C36,Data!$H:$BB,5,FALSE))</f>
        <v>6286.5</v>
      </c>
      <c r="I36" s="159">
        <f>IF(C36="Not Offered","",IF('Lowest TCO'!$B$3="Zone 1 (Perth Metro)",0,VLOOKUP($C36,Data!$H:$BG,43+(MATCH('Lowest TCO'!$B$3,Locations,0)),FALSE)))</f>
        <v>990</v>
      </c>
      <c r="J36" s="28">
        <f>IF(C36="Not Offered","",VLOOKUP($C36,Data!$H:$AL,4+2*(MATCH('Lowest TCO'!$B$3,Locations,0)),FALSE))</f>
        <v>9.9000000000000008E-3</v>
      </c>
      <c r="K36" s="28">
        <f>IF(C36="Not Offered","",VLOOKUP($C36,Data!$H:$AL,5+2*(MATCH('Lowest TCO'!$B$3,Locations,0)),FALSE))</f>
        <v>9.9000000000000005E-2</v>
      </c>
      <c r="L36" s="160">
        <f>IF(H36="","",ROUNDUP(('Lowest TCO'!$D$3*5)/(VLOOKUP(tco_data!$C36,Data!$H:$J,3,FALSE)),0)*tco_data!$H36)</f>
        <v>6286.5</v>
      </c>
      <c r="M36" s="210">
        <f>IF(OR(H36="",J36="N/A"),"",(5*J36*('Lowest TCO'!$D$3*(IF(RIGHT(D36,2)="BW",1,1-'Lowest TCO'!$F$3)))))</f>
        <v>3960</v>
      </c>
      <c r="N36" s="210">
        <f>IF(OR(H36="",K36="N/A"),"",(5*K36*('Lowest TCO'!$D$3*('Lowest TCO'!$F$3))))</f>
        <v>9900</v>
      </c>
      <c r="O36" s="210">
        <f>IF(L36="","",IF(AND('Lowest TCO'!$H$3&lt;&gt;"All",'Lowest TCO'!$H$3&lt;&gt;tco_data!D36),"",IF(J36="N/A","",IF(AND(RIGHT($D36,2)="BW",'Lowest TCO'!$H$3=0),"",SUM(L36:N36)+I36))))</f>
        <v>21136.5</v>
      </c>
    </row>
    <row r="37" spans="1:15" ht="18" customHeight="1" x14ac:dyDescent="0.2">
      <c r="A37" s="209" t="str">
        <f>IF(O37="","",IF(AND(tco_data!D37&lt;&gt;'Lowest TCO'!H$3,'Lowest TCO'!H$3&lt;&gt;"All"),"",IF(ISNA(RANK(tco_data!O37,tco_data!O$2:O$129)),"",RANK(tco_data!O37,tco_data!O$2:O$129,1))))</f>
        <v/>
      </c>
      <c r="B37" s="161" t="str">
        <f>D37&amp;" "&amp;F37&amp;" "&amp;E37</f>
        <v>MFD-Colour Medium Ricoh</v>
      </c>
      <c r="C37" s="40" t="str">
        <f>Lists!L37</f>
        <v>Not Offered</v>
      </c>
      <c r="D37" s="39" t="str">
        <f>Lists!M37</f>
        <v>MFD-Colour</v>
      </c>
      <c r="E37" s="40" t="str">
        <f>Lists!N37</f>
        <v>Ricoh</v>
      </c>
      <c r="F37" s="40" t="str">
        <f>Lists!O37</f>
        <v>Medium</v>
      </c>
      <c r="G37" s="40">
        <v>4</v>
      </c>
      <c r="H37" s="159" t="str">
        <f>IF(C37="Not Offered","",VLOOKUP(C37,Data!$H:$BB,5,FALSE))</f>
        <v/>
      </c>
      <c r="I37" s="159" t="str">
        <f>IF(C37="Not Offered","",IF('Lowest TCO'!$B$3="Zone 1 (Perth Metro)",0,VLOOKUP($C37,Data!$H:$BG,43+(MATCH('Lowest TCO'!$B$3,Locations,0)),FALSE)))</f>
        <v/>
      </c>
      <c r="J37" s="28" t="str">
        <f>IF(C37="Not Offered","",VLOOKUP($C37,Data!$H:$AL,4+2*(MATCH('Lowest TCO'!$B$3,Locations,0)),FALSE))</f>
        <v/>
      </c>
      <c r="K37" s="28" t="str">
        <f>IF(C37="Not Offered","",VLOOKUP($C37,Data!$H:$AL,5+2*(MATCH('Lowest TCO'!$B$3,Locations,0)),FALSE))</f>
        <v/>
      </c>
      <c r="L37" s="160" t="str">
        <f>IF(H37="","",ROUNDUP(('Lowest TCO'!$D$3*5)/(VLOOKUP(tco_data!$C37,Data!$H:$J,3,FALSE)),0)*tco_data!$H37)</f>
        <v/>
      </c>
      <c r="M37" s="210" t="str">
        <f>IF(OR(H37="",J37="N/A"),"",(5*J37*('Lowest TCO'!$D$3*(IF(RIGHT(D37,2)="BW",1,1-'Lowest TCO'!$F$3)))))</f>
        <v/>
      </c>
      <c r="N37" s="210" t="str">
        <f>IF(OR(H37="",K37="N/A"),"",(5*K37*('Lowest TCO'!$D$3*('Lowest TCO'!$F$3))))</f>
        <v/>
      </c>
      <c r="O37" s="210" t="str">
        <f>IF(L37="","",IF(AND('Lowest TCO'!$H$3&lt;&gt;"All",'Lowest TCO'!$H$3&lt;&gt;tco_data!D37),"",IF(J37="N/A","",IF(AND(RIGHT($D37,2)="BW",'Lowest TCO'!$H$3=0),"",SUM(L37:N37)+I37))))</f>
        <v/>
      </c>
    </row>
    <row r="38" spans="1:15" ht="18" customHeight="1" x14ac:dyDescent="0.2">
      <c r="A38" s="209" t="str">
        <f>IF(O38="","",IF(AND(tco_data!D38&lt;&gt;'Lowest TCO'!H$3,'Lowest TCO'!H$3&lt;&gt;"All"),"",IF(ISNA(RANK(tco_data!O38,tco_data!O$2:O$129)),"",RANK(tco_data!O38,tco_data!O$2:O$129,1))))</f>
        <v/>
      </c>
      <c r="B38" s="161" t="str">
        <f t="shared" si="0"/>
        <v>MFD-Colour Medium Ricoh</v>
      </c>
      <c r="C38" s="40" t="str">
        <f>Lists!L38</f>
        <v>IM C4510</v>
      </c>
      <c r="D38" s="39" t="str">
        <f>Lists!M38</f>
        <v>MFD-Colour</v>
      </c>
      <c r="E38" s="40" t="str">
        <f>Lists!N38</f>
        <v>Ricoh</v>
      </c>
      <c r="F38" s="40" t="str">
        <f>Lists!O38</f>
        <v>Medium</v>
      </c>
      <c r="G38" s="40">
        <v>1</v>
      </c>
      <c r="H38" s="159">
        <f>IF(C38="Not Offered","",VLOOKUP(C38,Data!$H:$BB,5,FALSE))</f>
        <v>5298.4800000000005</v>
      </c>
      <c r="I38" s="159">
        <f>IF(C38="Not Offered","",IF('Lowest TCO'!$B$3="Zone 1 (Perth Metro)",0,VLOOKUP($C38,Data!$H:$BG,43+(MATCH('Lowest TCO'!$B$3,Locations,0)),FALSE)))</f>
        <v>1260.6000000000001</v>
      </c>
      <c r="J38" s="28">
        <f>IF(C38="Not Offered","",VLOOKUP($C38,Data!$H:$AL,4+2*(MATCH('Lowest TCO'!$B$3,Locations,0)),FALSE))</f>
        <v>1.1000000000000001E-2</v>
      </c>
      <c r="K38" s="28">
        <f>IF(C38="Not Offered","",VLOOKUP($C38,Data!$H:$AL,5+2*(MATCH('Lowest TCO'!$B$3,Locations,0)),FALSE))</f>
        <v>0.12100000000000001</v>
      </c>
      <c r="L38" s="160">
        <f>IF(H38="","",ROUNDUP(('Lowest TCO'!$D$3*5)/(VLOOKUP(tco_data!$C38,Data!$H:$J,3,FALSE)),0)*tco_data!$H38)</f>
        <v>5298.4800000000005</v>
      </c>
      <c r="M38" s="210">
        <f>IF(OR(H38="",J38="N/A"),"",(5*J38*('Lowest TCO'!$D$3*(IF(RIGHT(D38,2)="BW",1,1-'Lowest TCO'!$F$3)))))</f>
        <v>4400.0000000000009</v>
      </c>
      <c r="N38" s="210">
        <f>IF(OR(H38="",K38="N/A"),"",(5*K38*('Lowest TCO'!$D$3*('Lowest TCO'!$F$3))))</f>
        <v>12100.000000000002</v>
      </c>
      <c r="O38" s="210">
        <f>IF(L38="","",IF(AND('Lowest TCO'!$H$3&lt;&gt;"All",'Lowest TCO'!$H$3&lt;&gt;tco_data!D38),"",IF(J38="N/A","",IF(AND(RIGHT($D38,2)="BW",'Lowest TCO'!$H$3=0),"",SUM(L38:N38)+I38))))</f>
        <v>23059.08</v>
      </c>
    </row>
    <row r="39" spans="1:15" ht="18" customHeight="1" x14ac:dyDescent="0.2">
      <c r="A39" s="209" t="str">
        <f>IF(O39="","",IF(AND(tco_data!D39&lt;&gt;'Lowest TCO'!H$3,'Lowest TCO'!H$3&lt;&gt;"All"),"",IF(ISNA(RANK(tco_data!O39,tco_data!O$2:O$129)),"",RANK(tco_data!O39,tco_data!O$2:O$129,1))))</f>
        <v/>
      </c>
      <c r="B39" s="162" t="str">
        <f t="shared" si="0"/>
        <v>MFD-Colour Medium Ricoh</v>
      </c>
      <c r="C39" s="41" t="str">
        <f>Lists!L39</f>
        <v>IM C400F</v>
      </c>
      <c r="D39" s="44" t="str">
        <f>Lists!M39</f>
        <v>MFD-Colour</v>
      </c>
      <c r="E39" s="41" t="str">
        <f>Lists!N39</f>
        <v>Ricoh</v>
      </c>
      <c r="F39" s="41" t="str">
        <f>Lists!O39</f>
        <v>Medium</v>
      </c>
      <c r="G39" s="41">
        <v>2</v>
      </c>
      <c r="H39" s="163">
        <f>IF(C39="Not Offered","",VLOOKUP(C39,Data!$H:$BB,5,FALSE))</f>
        <v>2757.35</v>
      </c>
      <c r="I39" s="163">
        <f>IF(C39="Not Offered","",IF('Lowest TCO'!$B$3="Zone 1 (Perth Metro)",0,VLOOKUP($C39,Data!$H:$BG,43+(MATCH('Lowest TCO'!$B$3,Locations,0)),FALSE)))</f>
        <v>1163.9100000000001</v>
      </c>
      <c r="J39" s="35">
        <f>IF(C39="Not Offered","",VLOOKUP($C39,Data!$H:$AL,4+2*(MATCH('Lowest TCO'!$B$3,Locations,0)),FALSE))</f>
        <v>2.4199999999999999E-2</v>
      </c>
      <c r="K39" s="35">
        <f>IF(C39="Not Offered","",VLOOKUP($C39,Data!$H:$AL,5+2*(MATCH('Lowest TCO'!$B$3,Locations,0)),FALSE))</f>
        <v>0.15400000000000003</v>
      </c>
      <c r="L39" s="164">
        <f>IF(H39="","",ROUNDUP(('Lowest TCO'!$D$3*5)/(VLOOKUP(tco_data!$C39,Data!$H:$J,3,FALSE)),0)*tco_data!$H39)</f>
        <v>2757.35</v>
      </c>
      <c r="M39" s="211">
        <f>IF(OR(H39="",J39="N/A"),"",(5*J39*('Lowest TCO'!$D$3*(IF(RIGHT(D39,2)="BW",1,1-'Lowest TCO'!$F$3)))))</f>
        <v>9680</v>
      </c>
      <c r="N39" s="211">
        <f>IF(OR(H39="",K39="N/A"),"",(5*K39*('Lowest TCO'!$D$3*('Lowest TCO'!$F$3))))</f>
        <v>15400.000000000002</v>
      </c>
      <c r="O39" s="210">
        <f>IF(L39="","",IF(AND('Lowest TCO'!$H$3&lt;&gt;"All",'Lowest TCO'!$H$3&lt;&gt;tco_data!D39),"",IF(J39="N/A","",IF(AND(RIGHT($D39,2)="BW",'Lowest TCO'!$H$3=0),"",SUM(L39:N39)+I39))))</f>
        <v>29001.260000000002</v>
      </c>
    </row>
    <row r="40" spans="1:15" ht="18" customHeight="1" x14ac:dyDescent="0.2">
      <c r="A40" s="209" t="str">
        <f>IF(O40="","",IF(AND(tco_data!D40&lt;&gt;'Lowest TCO'!H$3,'Lowest TCO'!H$3&lt;&gt;"All"),"",IF(ISNA(RANK(tco_data!O40,tco_data!O$2:O$129)),"",RANK(tco_data!O40,tco_data!O$2:O$129,1))))</f>
        <v/>
      </c>
      <c r="B40" s="162" t="str">
        <f t="shared" si="0"/>
        <v>MFD-Colour Medium Ricoh</v>
      </c>
      <c r="C40" s="41" t="str">
        <f>Lists!L40</f>
        <v>Not Offered</v>
      </c>
      <c r="D40" s="44" t="str">
        <f>Lists!M40</f>
        <v>MFD-Colour</v>
      </c>
      <c r="E40" s="41" t="str">
        <f>Lists!N40</f>
        <v>Ricoh</v>
      </c>
      <c r="F40" s="41" t="str">
        <f>Lists!O40</f>
        <v>Medium</v>
      </c>
      <c r="G40" s="41">
        <v>3</v>
      </c>
      <c r="H40" s="163" t="str">
        <f>IF(C40="Not Offered","",VLOOKUP(C40,Data!$H:$BB,5,FALSE))</f>
        <v/>
      </c>
      <c r="I40" s="163" t="str">
        <f>IF(C40="Not Offered","",IF('Lowest TCO'!$B$3="Zone 1 (Perth Metro)",0,VLOOKUP($C40,Data!$H:$BG,43+(MATCH('Lowest TCO'!$B$3,Locations,0)),FALSE)))</f>
        <v/>
      </c>
      <c r="J40" s="35" t="str">
        <f>IF(C40="Not Offered","",VLOOKUP($C40,Data!$H:$AL,4+2*(MATCH('Lowest TCO'!$B$3,Locations,0)),FALSE))</f>
        <v/>
      </c>
      <c r="K40" s="35" t="str">
        <f>IF(C40="Not Offered","",VLOOKUP($C40,Data!$H:$AL,5+2*(MATCH('Lowest TCO'!$B$3,Locations,0)),FALSE))</f>
        <v/>
      </c>
      <c r="L40" s="164" t="str">
        <f>IF(H40="","",ROUNDUP(('Lowest TCO'!$D$3*5)/(VLOOKUP(tco_data!$C40,Data!$H:$J,3,FALSE)),0)*tco_data!$H40)</f>
        <v/>
      </c>
      <c r="M40" s="211" t="str">
        <f>IF(OR(H40="",J40="N/A"),"",(5*J40*('Lowest TCO'!$D$3*(IF(RIGHT(D40,2)="BW",1,1-'Lowest TCO'!$F$3)))))</f>
        <v/>
      </c>
      <c r="N40" s="211" t="str">
        <f>IF(OR(H40="",K40="N/A"),"",(5*K40*('Lowest TCO'!$D$3*('Lowest TCO'!$F$3))))</f>
        <v/>
      </c>
      <c r="O40" s="210" t="str">
        <f>IF(L40="","",IF(AND('Lowest TCO'!$H$3&lt;&gt;"All",'Lowest TCO'!$H$3&lt;&gt;tco_data!D40),"",IF(J40="N/A","",IF(AND(RIGHT($D40,2)="BW",'Lowest TCO'!$H$3=0),"",SUM(L40:N40)+I40))))</f>
        <v/>
      </c>
    </row>
    <row r="41" spans="1:15" ht="18" customHeight="1" x14ac:dyDescent="0.2">
      <c r="A41" s="209" t="str">
        <f>IF(O41="","",IF(AND(tco_data!D41&lt;&gt;'Lowest TCO'!H$3,'Lowest TCO'!H$3&lt;&gt;"All"),"",IF(ISNA(RANK(tco_data!O41,tco_data!O$2:O$129)),"",RANK(tco_data!O41,tco_data!O$2:O$129,1))))</f>
        <v/>
      </c>
      <c r="B41" s="162" t="str">
        <f t="shared" si="0"/>
        <v>MFD-Colour Medium Ricoh</v>
      </c>
      <c r="C41" s="41" t="str">
        <f>Lists!L41</f>
        <v>Not Offered</v>
      </c>
      <c r="D41" s="44" t="str">
        <f>Lists!M41</f>
        <v>MFD-Colour</v>
      </c>
      <c r="E41" s="41" t="str">
        <f>Lists!N41</f>
        <v>Ricoh</v>
      </c>
      <c r="F41" s="41" t="str">
        <f>Lists!O41</f>
        <v>Medium</v>
      </c>
      <c r="G41" s="41">
        <v>4</v>
      </c>
      <c r="H41" s="163" t="str">
        <f>IF(C41="Not Offered","",VLOOKUP(C41,Data!$H:$BB,5,FALSE))</f>
        <v/>
      </c>
      <c r="I41" s="163" t="str">
        <f>IF(C41="Not Offered","",IF('Lowest TCO'!$B$3="Zone 1 (Perth Metro)",0,VLOOKUP($C41,Data!$H:$BG,43+(MATCH('Lowest TCO'!$B$3,Locations,0)),FALSE)))</f>
        <v/>
      </c>
      <c r="J41" s="35" t="str">
        <f>IF(C41="Not Offered","",VLOOKUP($C41,Data!$H:$AL,4+2*(MATCH('Lowest TCO'!$B$3,Locations,0)),FALSE))</f>
        <v/>
      </c>
      <c r="K41" s="35" t="str">
        <f>IF(C41="Not Offered","",VLOOKUP($C41,Data!$H:$AL,5+2*(MATCH('Lowest TCO'!$B$3,Locations,0)),FALSE))</f>
        <v/>
      </c>
      <c r="L41" s="164" t="str">
        <f>IF(H41="","",ROUNDUP(('Lowest TCO'!$D$3*5)/(VLOOKUP(tco_data!$C41,Data!$H:$J,3,FALSE)),0)*tco_data!$H41)</f>
        <v/>
      </c>
      <c r="M41" s="211" t="str">
        <f>IF(OR(H41="",J41="N/A"),"",(5*J41*('Lowest TCO'!$D$3*(IF(RIGHT(D41,2)="BW",1,1-'Lowest TCO'!$F$3)))))</f>
        <v/>
      </c>
      <c r="N41" s="211" t="str">
        <f>IF(OR(H41="",K41="N/A"),"",(5*K41*('Lowest TCO'!$D$3*('Lowest TCO'!$F$3))))</f>
        <v/>
      </c>
      <c r="O41" s="210" t="str">
        <f>IF(L41="","",IF(AND('Lowest TCO'!$H$3&lt;&gt;"All",'Lowest TCO'!$H$3&lt;&gt;tco_data!D41),"",IF(J41="N/A","",IF(AND(RIGHT($D41,2)="BW",'Lowest TCO'!$H$3=0),"",SUM(L41:N41)+I41))))</f>
        <v/>
      </c>
    </row>
    <row r="42" spans="1:15" ht="18" customHeight="1" x14ac:dyDescent="0.2">
      <c r="A42" s="209" t="e">
        <f>IF(O42="","",IF(AND(tco_data!D42&lt;&gt;'Lowest TCO'!H$3,'Lowest TCO'!H$3&lt;&gt;"All"),"",IF(ISNA(RANK(tco_data!O42,tco_data!O$2:O$129)),"",RANK(tco_data!O42,tco_data!O$2:O$129,1))))</f>
        <v>#N/A</v>
      </c>
      <c r="B42" s="161" t="str">
        <f t="shared" si="0"/>
        <v>MFD-Colour High Fuji Business Innovation</v>
      </c>
      <c r="C42" s="40" t="e">
        <f>Lists!L42</f>
        <v>#N/A</v>
      </c>
      <c r="D42" s="39" t="str">
        <f>Lists!M42</f>
        <v>MFD-Colour</v>
      </c>
      <c r="E42" s="40" t="str">
        <f>Lists!N42</f>
        <v>Fuji Business Innovation</v>
      </c>
      <c r="F42" s="40" t="str">
        <f>Lists!O42</f>
        <v>High</v>
      </c>
      <c r="G42" s="40">
        <v>1</v>
      </c>
      <c r="H42" s="159" t="e">
        <f>IF(C42="Not Offered","",VLOOKUP(C42,Data!$H:$BB,5,FALSE))</f>
        <v>#N/A</v>
      </c>
      <c r="I42" s="159" t="e">
        <f>IF(C42="Not Offered","",IF('Lowest TCO'!$B$3="Zone 1 (Perth Metro)",0,VLOOKUP($C42,Data!$H:$BG,43+(MATCH('Lowest TCO'!$B$3,Locations,0)),FALSE)))</f>
        <v>#N/A</v>
      </c>
      <c r="J42" s="28" t="e">
        <f>IF(C42="Not Offered","",VLOOKUP($C42,Data!$H:$AL,4+2*(MATCH('Lowest TCO'!$B$3,Locations,0)),FALSE))</f>
        <v>#N/A</v>
      </c>
      <c r="K42" s="28" t="e">
        <f>IF(C42="Not Offered","",VLOOKUP($C42,Data!$H:$AL,5+2*(MATCH('Lowest TCO'!$B$3,Locations,0)),FALSE))</f>
        <v>#N/A</v>
      </c>
      <c r="L42" s="160" t="e">
        <f>IF(H42="","",ROUNDUP(('Lowest TCO'!$D$3*5)/(VLOOKUP(tco_data!$C42,Data!$H:$J,3,FALSE)),0)*tco_data!$H42)</f>
        <v>#N/A</v>
      </c>
      <c r="M42" s="210" t="e">
        <f>IF(OR(H42="",J42="N/A"),"",(5*J42*('Lowest TCO'!$D$3*(IF(RIGHT(D42,2)="BW",1,1-'Lowest TCO'!$F$3)))))</f>
        <v>#N/A</v>
      </c>
      <c r="N42" s="210" t="e">
        <f>IF(OR(H42="",K42="N/A"),"",(5*K42*('Lowest TCO'!$D$3*('Lowest TCO'!$F$3))))</f>
        <v>#N/A</v>
      </c>
      <c r="O42" s="210" t="e">
        <f>IF(L42="","",IF(AND('Lowest TCO'!$H$3&lt;&gt;"All",'Lowest TCO'!$H$3&lt;&gt;tco_data!D42),"",IF(J42="N/A","",IF(AND(RIGHT($D42,2)="BW",'Lowest TCO'!$H$3=0),"",SUM(L42:N42)+I42))))</f>
        <v>#N/A</v>
      </c>
    </row>
    <row r="43" spans="1:15" ht="18" customHeight="1" x14ac:dyDescent="0.2">
      <c r="A43" s="209" t="e">
        <f>IF(O43="","",IF(AND(tco_data!D43&lt;&gt;'Lowest TCO'!H$3,'Lowest TCO'!H$3&lt;&gt;"All"),"",IF(ISNA(RANK(tco_data!O43,tco_data!O$2:O$129)),"",RANK(tco_data!O43,tco_data!O$2:O$129,1))))</f>
        <v>#N/A</v>
      </c>
      <c r="B43" s="161" t="str">
        <f t="shared" si="0"/>
        <v>MFD-Colour High Fuji Business Innovation</v>
      </c>
      <c r="C43" s="40" t="e">
        <f>Lists!L43</f>
        <v>#N/A</v>
      </c>
      <c r="D43" s="39" t="str">
        <f>Lists!M43</f>
        <v>MFD-Colour</v>
      </c>
      <c r="E43" s="40" t="str">
        <f>Lists!N43</f>
        <v>Fuji Business Innovation</v>
      </c>
      <c r="F43" s="40" t="str">
        <f>Lists!O43</f>
        <v>High</v>
      </c>
      <c r="G43" s="40">
        <v>2</v>
      </c>
      <c r="H43" s="159" t="e">
        <f>IF(C43="Not Offered","",VLOOKUP(C43,Data!$H:$BB,5,FALSE))</f>
        <v>#N/A</v>
      </c>
      <c r="I43" s="159" t="e">
        <f>IF(C43="Not Offered","",IF('Lowest TCO'!$B$3="Zone 1 (Perth Metro)",0,VLOOKUP($C43,Data!$H:$BG,43+(MATCH('Lowest TCO'!$B$3,Locations,0)),FALSE)))</f>
        <v>#N/A</v>
      </c>
      <c r="J43" s="28" t="e">
        <f>IF(C43="Not Offered","",VLOOKUP($C43,Data!$H:$AL,4+2*(MATCH('Lowest TCO'!$B$3,Locations,0)),FALSE))</f>
        <v>#N/A</v>
      </c>
      <c r="K43" s="28" t="e">
        <f>IF(C43="Not Offered","",VLOOKUP($C43,Data!$H:$AL,5+2*(MATCH('Lowest TCO'!$B$3,Locations,0)),FALSE))</f>
        <v>#N/A</v>
      </c>
      <c r="L43" s="160" t="e">
        <f>IF(H43="","",ROUNDUP(('Lowest TCO'!$D$3*5)/(VLOOKUP(tco_data!$C43,Data!$H:$J,3,FALSE)),0)*tco_data!$H43)</f>
        <v>#N/A</v>
      </c>
      <c r="M43" s="210" t="e">
        <f>IF(OR(H43="",J43="N/A"),"",(5*J43*('Lowest TCO'!$D$3*(IF(RIGHT(D43,2)="BW",1,1-'Lowest TCO'!$F$3)))))</f>
        <v>#N/A</v>
      </c>
      <c r="N43" s="210" t="e">
        <f>IF(OR(H43="",K43="N/A"),"",(5*K43*('Lowest TCO'!$D$3*('Lowest TCO'!$F$3))))</f>
        <v>#N/A</v>
      </c>
      <c r="O43" s="210" t="e">
        <f>IF(L43="","",IF(AND('Lowest TCO'!$H$3&lt;&gt;"All",'Lowest TCO'!$H$3&lt;&gt;tco_data!D43),"",IF(J43="N/A","",IF(AND(RIGHT($D43,2)="BW",'Lowest TCO'!$H$3=0),"",SUM(L43:N43)+I43))))</f>
        <v>#N/A</v>
      </c>
    </row>
    <row r="44" spans="1:15" ht="18" customHeight="1" x14ac:dyDescent="0.2">
      <c r="A44" s="209" t="e">
        <f>IF(O44="","",IF(AND(tco_data!D44&lt;&gt;'Lowest TCO'!H$3,'Lowest TCO'!H$3&lt;&gt;"All"),"",IF(ISNA(RANK(tco_data!O44,tco_data!O$2:O$129)),"",RANK(tco_data!O44,tco_data!O$2:O$129,1))))</f>
        <v>#N/A</v>
      </c>
      <c r="B44" s="161" t="str">
        <f t="shared" si="0"/>
        <v>MFD-Colour High Fuji Business Innovation</v>
      </c>
      <c r="C44" s="40" t="e">
        <f>Lists!L44</f>
        <v>#N/A</v>
      </c>
      <c r="D44" s="39" t="str">
        <f>Lists!M44</f>
        <v>MFD-Colour</v>
      </c>
      <c r="E44" s="40" t="str">
        <f>Lists!N44</f>
        <v>Fuji Business Innovation</v>
      </c>
      <c r="F44" s="40" t="str">
        <f>Lists!O44</f>
        <v>High</v>
      </c>
      <c r="G44" s="40">
        <v>3</v>
      </c>
      <c r="H44" s="159" t="e">
        <f>IF(C44="Not Offered","",VLOOKUP(C44,Data!$H:$BB,5,FALSE))</f>
        <v>#N/A</v>
      </c>
      <c r="I44" s="159" t="e">
        <f>IF(C44="Not Offered","",IF('Lowest TCO'!$B$3="Zone 1 (Perth Metro)",0,VLOOKUP($C44,Data!$H:$BG,43+(MATCH('Lowest TCO'!$B$3,Locations,0)),FALSE)))</f>
        <v>#N/A</v>
      </c>
      <c r="J44" s="28" t="e">
        <f>IF(C44="Not Offered","",VLOOKUP($C44,Data!$H:$AL,4+2*(MATCH('Lowest TCO'!$B$3,Locations,0)),FALSE))</f>
        <v>#N/A</v>
      </c>
      <c r="K44" s="28" t="e">
        <f>IF(C44="Not Offered","",VLOOKUP($C44,Data!$H:$AL,5+2*(MATCH('Lowest TCO'!$B$3,Locations,0)),FALSE))</f>
        <v>#N/A</v>
      </c>
      <c r="L44" s="160" t="e">
        <f>IF(H44="","",ROUNDUP(('Lowest TCO'!$D$3*5)/(VLOOKUP(tco_data!$C44,Data!$H:$J,3,FALSE)),0)*tco_data!$H44)</f>
        <v>#N/A</v>
      </c>
      <c r="M44" s="210" t="e">
        <f>IF(OR(H44="",J44="N/A"),"",(5*J44*('Lowest TCO'!$D$3*(IF(RIGHT(D44,2)="BW",1,1-'Lowest TCO'!$F$3)))))</f>
        <v>#N/A</v>
      </c>
      <c r="N44" s="210" t="e">
        <f>IF(OR(H44="",K44="N/A"),"",(5*K44*('Lowest TCO'!$D$3*('Lowest TCO'!$F$3))))</f>
        <v>#N/A</v>
      </c>
      <c r="O44" s="210" t="e">
        <f>IF(L44="","",IF(AND('Lowest TCO'!$H$3&lt;&gt;"All",'Lowest TCO'!$H$3&lt;&gt;tco_data!D44),"",IF(J44="N/A","",IF(AND(RIGHT($D44,2)="BW",'Lowest TCO'!$H$3=0),"",SUM(L44:N44)+I44))))</f>
        <v>#N/A</v>
      </c>
    </row>
    <row r="45" spans="1:15" ht="18" customHeight="1" x14ac:dyDescent="0.2">
      <c r="A45" s="209" t="e">
        <f>IF(O45="","",IF(AND(tco_data!D45&lt;&gt;'Lowest TCO'!H$3,'Lowest TCO'!H$3&lt;&gt;"All"),"",IF(ISNA(RANK(tco_data!O45,tco_data!O$2:O$129)),"",RANK(tco_data!O45,tco_data!O$2:O$129,1))))</f>
        <v>#N/A</v>
      </c>
      <c r="B45" s="161" t="str">
        <f t="shared" si="0"/>
        <v>MFD-Colour High Fuji Business Innovation</v>
      </c>
      <c r="C45" s="40" t="e">
        <f>Lists!L45</f>
        <v>#N/A</v>
      </c>
      <c r="D45" s="39" t="str">
        <f>Lists!M45</f>
        <v>MFD-Colour</v>
      </c>
      <c r="E45" s="40" t="str">
        <f>Lists!N45</f>
        <v>Fuji Business Innovation</v>
      </c>
      <c r="F45" s="40" t="str">
        <f>Lists!O45</f>
        <v>High</v>
      </c>
      <c r="G45" s="40">
        <v>4</v>
      </c>
      <c r="H45" s="159" t="e">
        <f>IF(C45="Not Offered","",VLOOKUP(C45,Data!$H:$BB,5,FALSE))</f>
        <v>#N/A</v>
      </c>
      <c r="I45" s="159" t="e">
        <f>IF(C45="Not Offered","",IF('Lowest TCO'!$B$3="Zone 1 (Perth Metro)",0,VLOOKUP($C45,Data!$H:$BG,43+(MATCH('Lowest TCO'!$B$3,Locations,0)),FALSE)))</f>
        <v>#N/A</v>
      </c>
      <c r="J45" s="28" t="e">
        <f>IF(C45="Not Offered","",VLOOKUP($C45,Data!$H:$AL,4+2*(MATCH('Lowest TCO'!$B$3,Locations,0)),FALSE))</f>
        <v>#N/A</v>
      </c>
      <c r="K45" s="28" t="e">
        <f>IF(C45="Not Offered","",VLOOKUP($C45,Data!$H:$AL,5+2*(MATCH('Lowest TCO'!$B$3,Locations,0)),FALSE))</f>
        <v>#N/A</v>
      </c>
      <c r="L45" s="160" t="e">
        <f>IF(H45="","",ROUNDUP(('Lowest TCO'!$D$3*5)/(VLOOKUP(tco_data!$C45,Data!$H:$J,3,FALSE)),0)*tco_data!$H45)</f>
        <v>#N/A</v>
      </c>
      <c r="M45" s="210" t="e">
        <f>IF(OR(H45="",J45="N/A"),"",(5*J45*('Lowest TCO'!$D$3*(IF(RIGHT(D45,2)="BW",1,1-'Lowest TCO'!$F$3)))))</f>
        <v>#N/A</v>
      </c>
      <c r="N45" s="210" t="e">
        <f>IF(OR(H45="",K45="N/A"),"",(5*K45*('Lowest TCO'!$D$3*('Lowest TCO'!$F$3))))</f>
        <v>#N/A</v>
      </c>
      <c r="O45" s="210" t="e">
        <f>IF(L45="","",IF(AND('Lowest TCO'!$H$3&lt;&gt;"All",'Lowest TCO'!$H$3&lt;&gt;tco_data!D45),"",IF(J45="N/A","",IF(AND(RIGHT($D45,2)="BW",'Lowest TCO'!$H$3=0),"",SUM(L45:N45)+I45))))</f>
        <v>#N/A</v>
      </c>
    </row>
    <row r="46" spans="1:15" ht="18" customHeight="1" x14ac:dyDescent="0.2">
      <c r="A46" s="209" t="str">
        <f>IF(O46="","",IF(AND(tco_data!D46&lt;&gt;'Lowest TCO'!H$3,'Lowest TCO'!H$3&lt;&gt;"All"),"",IF(ISNA(RANK(tco_data!O46,tco_data!O$2:O$129)),"",RANK(tco_data!O46,tco_data!O$2:O$129,1))))</f>
        <v/>
      </c>
      <c r="B46" s="161" t="str">
        <f t="shared" si="0"/>
        <v>MFD-Colour High Konica Minolta</v>
      </c>
      <c r="C46" s="40" t="str">
        <f>Lists!L46</f>
        <v>bizhub C650i</v>
      </c>
      <c r="D46" s="39" t="str">
        <f>Lists!M46</f>
        <v>MFD-Colour</v>
      </c>
      <c r="E46" s="40" t="str">
        <f>Lists!N46</f>
        <v>Konica Minolta</v>
      </c>
      <c r="F46" s="40" t="str">
        <f>Lists!O46</f>
        <v>High</v>
      </c>
      <c r="G46" s="40">
        <v>1</v>
      </c>
      <c r="H46" s="159">
        <f>IF(C46="Not Offered","",VLOOKUP(C46,Data!$H:$BB,5,FALSE))</f>
        <v>8489.1125000000011</v>
      </c>
      <c r="I46" s="159">
        <f>IF(C46="Not Offered","",IF('Lowest TCO'!$B$3="Zone 1 (Perth Metro)",0,VLOOKUP($C46,Data!$H:$BG,43+(MATCH('Lowest TCO'!$B$3,Locations,0)),FALSE)))</f>
        <v>1650</v>
      </c>
      <c r="J46" s="28">
        <f>IF(C46="Not Offered","",VLOOKUP($C46,Data!$H:$AL,4+2*(MATCH('Lowest TCO'!$B$3,Locations,0)),FALSE))</f>
        <v>1.21E-2</v>
      </c>
      <c r="K46" s="28">
        <f>IF(C46="Not Offered","",VLOOKUP($C46,Data!$H:$AL,5+2*(MATCH('Lowest TCO'!$B$3,Locations,0)),FALSE))</f>
        <v>0.121</v>
      </c>
      <c r="L46" s="160">
        <f>IF(H46="","",ROUNDUP(('Lowest TCO'!$D$3*5)/(VLOOKUP(tco_data!$C46,Data!$H:$J,3,FALSE)),0)*tco_data!$H46)</f>
        <v>8489.1125000000011</v>
      </c>
      <c r="M46" s="210">
        <f>IF(OR(H46="",J46="N/A"),"",(5*J46*('Lowest TCO'!$D$3*(IF(RIGHT(D46,2)="BW",1,1-'Lowest TCO'!$F$3)))))</f>
        <v>4840</v>
      </c>
      <c r="N46" s="210">
        <f>IF(OR(H46="",K46="N/A"),"",(5*K46*('Lowest TCO'!$D$3*('Lowest TCO'!$F$3))))</f>
        <v>12100</v>
      </c>
      <c r="O46" s="210">
        <f>IF(L46="","",IF(AND('Lowest TCO'!$H$3&lt;&gt;"All",'Lowest TCO'!$H$3&lt;&gt;tco_data!D46),"",IF(J46="N/A","",IF(AND(RIGHT($D46,2)="BW",'Lowest TCO'!$H$3=0),"",SUM(L46:N46)+I46))))</f>
        <v>27079.112500000003</v>
      </c>
    </row>
    <row r="47" spans="1:15" ht="18" customHeight="1" x14ac:dyDescent="0.2">
      <c r="A47" s="209" t="str">
        <f>IF(O47="","",IF(AND(tco_data!D47&lt;&gt;'Lowest TCO'!H$3,'Lowest TCO'!H$3&lt;&gt;"All"),"",IF(ISNA(RANK(tco_data!O47,tco_data!O$2:O$129)),"",RANK(tco_data!O47,tco_data!O$2:O$129,1))))</f>
        <v/>
      </c>
      <c r="B47" s="161" t="str">
        <f t="shared" si="0"/>
        <v>MFD-Colour High Konica Minolta</v>
      </c>
      <c r="C47" s="40" t="str">
        <f>Lists!L47</f>
        <v>Not Offered</v>
      </c>
      <c r="D47" s="39" t="str">
        <f>Lists!M47</f>
        <v>MFD-Colour</v>
      </c>
      <c r="E47" s="40" t="str">
        <f>Lists!N47</f>
        <v>Konica Minolta</v>
      </c>
      <c r="F47" s="40" t="str">
        <f>Lists!O47</f>
        <v>High</v>
      </c>
      <c r="G47" s="40">
        <v>2</v>
      </c>
      <c r="H47" s="159" t="str">
        <f>IF(C47="Not Offered","",VLOOKUP(C47,Data!$H:$BB,5,FALSE))</f>
        <v/>
      </c>
      <c r="I47" s="159" t="str">
        <f>IF(C47="Not Offered","",IF('Lowest TCO'!$B$3="Zone 1 (Perth Metro)",0,VLOOKUP($C47,Data!$H:$BG,43+(MATCH('Lowest TCO'!$B$3,Locations,0)),FALSE)))</f>
        <v/>
      </c>
      <c r="J47" s="28" t="str">
        <f>IF(C47="Not Offered","",VLOOKUP($C47,Data!$H:$AL,4+2*(MATCH('Lowest TCO'!$B$3,Locations,0)),FALSE))</f>
        <v/>
      </c>
      <c r="K47" s="28" t="str">
        <f>IF(C47="Not Offered","",VLOOKUP($C47,Data!$H:$AL,5+2*(MATCH('Lowest TCO'!$B$3,Locations,0)),FALSE))</f>
        <v/>
      </c>
      <c r="L47" s="160" t="str">
        <f>IF(H47="","",ROUNDUP(('Lowest TCO'!$D$3*5)/(VLOOKUP(tco_data!$C47,Data!$H:$J,3,FALSE)),0)*tco_data!$H47)</f>
        <v/>
      </c>
      <c r="M47" s="210" t="str">
        <f>IF(OR(H47="",J47="N/A"),"",(5*J47*('Lowest TCO'!$D$3*(IF(RIGHT(D47,2)="BW",1,1-'Lowest TCO'!$F$3)))))</f>
        <v/>
      </c>
      <c r="N47" s="210" t="str">
        <f>IF(OR(H47="",K47="N/A"),"",(5*K47*('Lowest TCO'!$D$3*('Lowest TCO'!$F$3))))</f>
        <v/>
      </c>
      <c r="O47" s="210" t="str">
        <f>IF(L47="","",IF(AND('Lowest TCO'!$H$3&lt;&gt;"All",'Lowest TCO'!$H$3&lt;&gt;tco_data!D47),"",IF(J47="N/A","",IF(AND(RIGHT($D47,2)="BW",'Lowest TCO'!$H$3=0),"",SUM(L47:N47)+I47))))</f>
        <v/>
      </c>
    </row>
    <row r="48" spans="1:15" ht="18" customHeight="1" x14ac:dyDescent="0.2">
      <c r="A48" s="209" t="str">
        <f>IF(O48="","",IF(AND(tco_data!D48&lt;&gt;'Lowest TCO'!H$3,'Lowest TCO'!H$3&lt;&gt;"All"),"",IF(ISNA(RANK(tco_data!O48,tco_data!O$2:O$129)),"",RANK(tco_data!O48,tco_data!O$2:O$129,1))))</f>
        <v/>
      </c>
      <c r="B48" s="161" t="str">
        <f t="shared" si="0"/>
        <v>MFD-Colour High Konica Minolta</v>
      </c>
      <c r="C48" s="40" t="str">
        <f>Lists!L48</f>
        <v>bizhub C750i</v>
      </c>
      <c r="D48" s="39" t="str">
        <f>Lists!M48</f>
        <v>MFD-Colour</v>
      </c>
      <c r="E48" s="40" t="str">
        <f>Lists!N48</f>
        <v>Konica Minolta</v>
      </c>
      <c r="F48" s="40" t="str">
        <f>Lists!O48</f>
        <v>High</v>
      </c>
      <c r="G48" s="40">
        <v>3</v>
      </c>
      <c r="H48" s="159">
        <f>IF(C48="Not Offered","",VLOOKUP(C48,Data!$H:$BB,5,FALSE))</f>
        <v>11534.6</v>
      </c>
      <c r="I48" s="159">
        <f>IF(C48="Not Offered","",IF('Lowest TCO'!$B$3="Zone 1 (Perth Metro)",0,VLOOKUP($C48,Data!$H:$BG,43+(MATCH('Lowest TCO'!$B$3,Locations,0)),FALSE)))</f>
        <v>1958</v>
      </c>
      <c r="J48" s="28">
        <f>IF(C48="Not Offered","",VLOOKUP($C48,Data!$H:$AL,4+2*(MATCH('Lowest TCO'!$B$3,Locations,0)),FALSE))</f>
        <v>1.0999999999999999E-2</v>
      </c>
      <c r="K48" s="28">
        <f>IF(C48="Not Offered","",VLOOKUP($C48,Data!$H:$AL,5+2*(MATCH('Lowest TCO'!$B$3,Locations,0)),FALSE))</f>
        <v>0.11</v>
      </c>
      <c r="L48" s="160">
        <f>IF(H48="","",ROUNDUP(('Lowest TCO'!$D$3*5)/(VLOOKUP(tco_data!$C48,Data!$H:$J,3,FALSE)),0)*tco_data!$H48)</f>
        <v>11534.6</v>
      </c>
      <c r="M48" s="210">
        <f>IF(OR(H48="",J48="N/A"),"",(5*J48*('Lowest TCO'!$D$3*(IF(RIGHT(D48,2)="BW",1,1-'Lowest TCO'!$F$3)))))</f>
        <v>4399.9999999999991</v>
      </c>
      <c r="N48" s="210">
        <f>IF(OR(H48="",K48="N/A"),"",(5*K48*('Lowest TCO'!$D$3*('Lowest TCO'!$F$3))))</f>
        <v>11000</v>
      </c>
      <c r="O48" s="210">
        <f>IF(L48="","",IF(AND('Lowest TCO'!$H$3&lt;&gt;"All",'Lowest TCO'!$H$3&lt;&gt;tco_data!D48),"",IF(J48="N/A","",IF(AND(RIGHT($D48,2)="BW",'Lowest TCO'!$H$3=0),"",SUM(L48:N48)+I48))))</f>
        <v>28892.6</v>
      </c>
    </row>
    <row r="49" spans="1:15" ht="18" customHeight="1" x14ac:dyDescent="0.2">
      <c r="A49" s="209" t="str">
        <f>IF(O49="","",IF(AND(tco_data!D49&lt;&gt;'Lowest TCO'!H$3,'Lowest TCO'!H$3&lt;&gt;"All"),"",IF(ISNA(RANK(tco_data!O49,tco_data!O$2:O$129)),"",RANK(tco_data!O49,tco_data!O$2:O$129,1))))</f>
        <v/>
      </c>
      <c r="B49" s="162" t="str">
        <f t="shared" si="0"/>
        <v>MFD-Colour High Konica Minolta</v>
      </c>
      <c r="C49" s="41" t="str">
        <f>Lists!L49</f>
        <v>Not Offered</v>
      </c>
      <c r="D49" s="44" t="str">
        <f>Lists!M49</f>
        <v>MFD-Colour</v>
      </c>
      <c r="E49" s="41" t="str">
        <f>Lists!N49</f>
        <v>Konica Minolta</v>
      </c>
      <c r="F49" s="41" t="str">
        <f>Lists!O49</f>
        <v>High</v>
      </c>
      <c r="G49" s="41">
        <v>4</v>
      </c>
      <c r="H49" s="163" t="str">
        <f>IF(C49="Not Offered","",VLOOKUP(C49,Data!$H:$BB,5,FALSE))</f>
        <v/>
      </c>
      <c r="I49" s="163" t="str">
        <f>IF(C49="Not Offered","",IF('Lowest TCO'!$B$3="Zone 1 (Perth Metro)",0,VLOOKUP($C49,Data!$H:$BG,43+(MATCH('Lowest TCO'!$B$3,Locations,0)),FALSE)))</f>
        <v/>
      </c>
      <c r="J49" s="35" t="str">
        <f>IF(C49="Not Offered","",VLOOKUP($C49,Data!$H:$AL,4+2*(MATCH('Lowest TCO'!$B$3,Locations,0)),FALSE))</f>
        <v/>
      </c>
      <c r="K49" s="35" t="str">
        <f>IF(C49="Not Offered","",VLOOKUP($C49,Data!$H:$AL,5+2*(MATCH('Lowest TCO'!$B$3,Locations,0)),FALSE))</f>
        <v/>
      </c>
      <c r="L49" s="164" t="str">
        <f>IF(H49="","",ROUNDUP(('Lowest TCO'!$D$3*5)/(VLOOKUP(tco_data!$C49,Data!$H:$J,3,FALSE)),0)*tco_data!$H49)</f>
        <v/>
      </c>
      <c r="M49" s="211" t="str">
        <f>IF(OR(H49="",J49="N/A"),"",(5*J49*('Lowest TCO'!$D$3*(IF(RIGHT(D49,2)="BW",1,1-'Lowest TCO'!$F$3)))))</f>
        <v/>
      </c>
      <c r="N49" s="211" t="str">
        <f>IF(OR(H49="",K49="N/A"),"",(5*K49*('Lowest TCO'!$D$3*('Lowest TCO'!$F$3))))</f>
        <v/>
      </c>
      <c r="O49" s="210" t="str">
        <f>IF(L49="","",IF(AND('Lowest TCO'!$H$3&lt;&gt;"All",'Lowest TCO'!$H$3&lt;&gt;tco_data!D49),"",IF(J49="N/A","",IF(AND(RIGHT($D49,2)="BW",'Lowest TCO'!$H$3=0),"",SUM(L49:N49)+I49))))</f>
        <v/>
      </c>
    </row>
    <row r="50" spans="1:15" ht="18" customHeight="1" x14ac:dyDescent="0.2">
      <c r="A50" s="209" t="str">
        <f>IF(O50="","",IF(AND(tco_data!D50&lt;&gt;'Lowest TCO'!H$3,'Lowest TCO'!H$3&lt;&gt;"All"),"",IF(ISNA(RANK(tco_data!O50,tco_data!O$2:O$129)),"",RANK(tco_data!O50,tco_data!O$2:O$129,1))))</f>
        <v/>
      </c>
      <c r="B50" s="161" t="str">
        <f t="shared" si="0"/>
        <v>MFD-Colour High Kyocera</v>
      </c>
      <c r="C50" s="40" t="str">
        <f>Lists!L50</f>
        <v>TASkalfa 6054ci</v>
      </c>
      <c r="D50" s="39" t="str">
        <f>Lists!M50</f>
        <v>MFD-Colour</v>
      </c>
      <c r="E50" s="40" t="str">
        <f>Lists!N50</f>
        <v>Kyocera</v>
      </c>
      <c r="F50" s="40" t="str">
        <f>Lists!O50</f>
        <v>High</v>
      </c>
      <c r="G50" s="40">
        <v>1</v>
      </c>
      <c r="H50" s="159">
        <f>IF(C50="Not Offered","",VLOOKUP(C50,Data!$H:$BB,5,FALSE))</f>
        <v>7351.3</v>
      </c>
      <c r="I50" s="159">
        <f>IF(C50="Not Offered","",IF('Lowest TCO'!$B$3="Zone 1 (Perth Metro)",0,VLOOKUP($C50,Data!$H:$BG,43+(MATCH('Lowest TCO'!$B$3,Locations,0)),FALSE)))</f>
        <v>1100</v>
      </c>
      <c r="J50" s="28">
        <f>IF(C50="Not Offered","",VLOOKUP($C50,Data!$H:$AL,4+2*(MATCH('Lowest TCO'!$B$3,Locations,0)),FALSE))</f>
        <v>9.9000000000000008E-3</v>
      </c>
      <c r="K50" s="28">
        <f>IF(C50="Not Offered","",VLOOKUP($C50,Data!$H:$AL,5+2*(MATCH('Lowest TCO'!$B$3,Locations,0)),FALSE))</f>
        <v>9.9000000000000005E-2</v>
      </c>
      <c r="L50" s="160">
        <f>IF(H50="","",ROUNDUP(('Lowest TCO'!$D$3*5)/(VLOOKUP(tco_data!$C50,Data!$H:$J,3,FALSE)),0)*tco_data!$H50)</f>
        <v>7351.3</v>
      </c>
      <c r="M50" s="210">
        <f>IF(OR(H50="",J50="N/A"),"",(5*J50*('Lowest TCO'!$D$3*(IF(RIGHT(D50,2)="BW",1,1-'Lowest TCO'!$F$3)))))</f>
        <v>3960</v>
      </c>
      <c r="N50" s="210">
        <f>IF(OR(H50="",K50="N/A"),"",(5*K50*('Lowest TCO'!$D$3*('Lowest TCO'!$F$3))))</f>
        <v>9900</v>
      </c>
      <c r="O50" s="210">
        <f>IF(L50="","",IF(AND('Lowest TCO'!$H$3&lt;&gt;"All",'Lowest TCO'!$H$3&lt;&gt;tco_data!D50),"",IF(J50="N/A","",IF(AND(RIGHT($D50,2)="BW",'Lowest TCO'!$H$3=0),"",SUM(L50:N50)+I50))))</f>
        <v>22311.3</v>
      </c>
    </row>
    <row r="51" spans="1:15" ht="18" customHeight="1" x14ac:dyDescent="0.2">
      <c r="A51" s="209" t="str">
        <f>IF(O51="","",IF(AND(tco_data!D51&lt;&gt;'Lowest TCO'!H$3,'Lowest TCO'!H$3&lt;&gt;"All"),"",IF(ISNA(RANK(tco_data!O51,tco_data!O$2:O$129)),"",RANK(tco_data!O51,tco_data!O$2:O$129,1))))</f>
        <v/>
      </c>
      <c r="B51" s="161" t="str">
        <f t="shared" si="0"/>
        <v>MFD-Colour High Kyocera</v>
      </c>
      <c r="C51" s="40" t="str">
        <f>Lists!L51</f>
        <v>TASKalfa 7353ci</v>
      </c>
      <c r="D51" s="39" t="str">
        <f>Lists!M51</f>
        <v>MFD-Colour</v>
      </c>
      <c r="E51" s="40" t="str">
        <f>Lists!N51</f>
        <v>Kyocera</v>
      </c>
      <c r="F51" s="40" t="str">
        <f>Lists!O51</f>
        <v>High</v>
      </c>
      <c r="G51" s="40">
        <v>2</v>
      </c>
      <c r="H51" s="159">
        <f>IF(C51="Not Offered","",VLOOKUP(C51,Data!$H:$BB,5,FALSE))</f>
        <v>12167.65</v>
      </c>
      <c r="I51" s="159">
        <f>IF(C51="Not Offered","",IF('Lowest TCO'!$B$3="Zone 1 (Perth Metro)",0,VLOOKUP($C51,Data!$H:$BG,43+(MATCH('Lowest TCO'!$B$3,Locations,0)),FALSE)))</f>
        <v>1210</v>
      </c>
      <c r="J51" s="28">
        <f>IF(C51="Not Offered","",VLOOKUP($C51,Data!$H:$AL,4+2*(MATCH('Lowest TCO'!$B$3,Locations,0)),FALSE))</f>
        <v>9.9000000000000008E-3</v>
      </c>
      <c r="K51" s="28">
        <f>IF(C51="Not Offered","",VLOOKUP($C51,Data!$H:$AL,5+2*(MATCH('Lowest TCO'!$B$3,Locations,0)),FALSE))</f>
        <v>9.9000000000000005E-2</v>
      </c>
      <c r="L51" s="160">
        <f>IF(H51="","",ROUNDUP(('Lowest TCO'!$D$3*5)/(VLOOKUP(tco_data!$C51,Data!$H:$J,3,FALSE)),0)*tco_data!$H51)</f>
        <v>12167.65</v>
      </c>
      <c r="M51" s="210">
        <f>IF(OR(H51="",J51="N/A"),"",(5*J51*('Lowest TCO'!$D$3*(IF(RIGHT(D51,2)="BW",1,1-'Lowest TCO'!$F$3)))))</f>
        <v>3960</v>
      </c>
      <c r="N51" s="210">
        <f>IF(OR(H51="",K51="N/A"),"",(5*K51*('Lowest TCO'!$D$3*('Lowest TCO'!$F$3))))</f>
        <v>9900</v>
      </c>
      <c r="O51" s="210">
        <f>IF(L51="","",IF(AND('Lowest TCO'!$H$3&lt;&gt;"All",'Lowest TCO'!$H$3&lt;&gt;tco_data!D51),"",IF(J51="N/A","",IF(AND(RIGHT($D51,2)="BW",'Lowest TCO'!$H$3=0),"",SUM(L51:N51)+I51))))</f>
        <v>27237.65</v>
      </c>
    </row>
    <row r="52" spans="1:15" ht="18" customHeight="1" x14ac:dyDescent="0.2">
      <c r="A52" s="209" t="str">
        <f>IF(O52="","",IF(AND(tco_data!D52&lt;&gt;'Lowest TCO'!H$3,'Lowest TCO'!H$3&lt;&gt;"All"),"",IF(ISNA(RANK(tco_data!O52,tco_data!O$2:O$129)),"",RANK(tco_data!O52,tco_data!O$2:O$129,1))))</f>
        <v/>
      </c>
      <c r="B52" s="161" t="str">
        <f t="shared" si="0"/>
        <v>MFD-Colour High Kyocera</v>
      </c>
      <c r="C52" s="40" t="str">
        <f>Lists!L52</f>
        <v>TASKalfa 8353ci</v>
      </c>
      <c r="D52" s="39" t="str">
        <f>Lists!M52</f>
        <v>MFD-Colour</v>
      </c>
      <c r="E52" s="40" t="str">
        <f>Lists!N52</f>
        <v>Kyocera</v>
      </c>
      <c r="F52" s="40" t="str">
        <f>Lists!O52</f>
        <v>High</v>
      </c>
      <c r="G52" s="40">
        <v>3</v>
      </c>
      <c r="H52" s="159">
        <f>IF(C52="Not Offered","",VLOOKUP(C52,Data!$H:$BB,5,FALSE))</f>
        <v>13896.85</v>
      </c>
      <c r="I52" s="159">
        <f>IF(C52="Not Offered","",IF('Lowest TCO'!$B$3="Zone 1 (Perth Metro)",0,VLOOKUP($C52,Data!$H:$BG,43+(MATCH('Lowest TCO'!$B$3,Locations,0)),FALSE)))</f>
        <v>1210</v>
      </c>
      <c r="J52" s="28">
        <f>IF(C52="Not Offered","",VLOOKUP($C52,Data!$H:$AL,4+2*(MATCH('Lowest TCO'!$B$3,Locations,0)),FALSE))</f>
        <v>9.9000000000000008E-3</v>
      </c>
      <c r="K52" s="28">
        <f>IF(C52="Not Offered","",VLOOKUP($C52,Data!$H:$AL,5+2*(MATCH('Lowest TCO'!$B$3,Locations,0)),FALSE))</f>
        <v>9.9000000000000005E-2</v>
      </c>
      <c r="L52" s="160">
        <f>IF(H52="","",ROUNDUP(('Lowest TCO'!$D$3*5)/(VLOOKUP(tco_data!$C52,Data!$H:$J,3,FALSE)),0)*tco_data!$H52)</f>
        <v>13896.85</v>
      </c>
      <c r="M52" s="210">
        <f>IF(OR(H52="",J52="N/A"),"",(5*J52*('Lowest TCO'!$D$3*(IF(RIGHT(D52,2)="BW",1,1-'Lowest TCO'!$F$3)))))</f>
        <v>3960</v>
      </c>
      <c r="N52" s="210">
        <f>IF(OR(H52="",K52="N/A"),"",(5*K52*('Lowest TCO'!$D$3*('Lowest TCO'!$F$3))))</f>
        <v>9900</v>
      </c>
      <c r="O52" s="210">
        <f>IF(L52="","",IF(AND('Lowest TCO'!$H$3&lt;&gt;"All",'Lowest TCO'!$H$3&lt;&gt;tco_data!D52),"",IF(J52="N/A","",IF(AND(RIGHT($D52,2)="BW",'Lowest TCO'!$H$3=0),"",SUM(L52:N52)+I52))))</f>
        <v>28966.85</v>
      </c>
    </row>
    <row r="53" spans="1:15" ht="18" customHeight="1" x14ac:dyDescent="0.2">
      <c r="A53" s="209" t="str">
        <f>IF(O53="","",IF(AND(tco_data!D53&lt;&gt;'Lowest TCO'!H$3,'Lowest TCO'!H$3&lt;&gt;"All"),"",IF(ISNA(RANK(tco_data!O53,tco_data!O$2:O$129)),"",RANK(tco_data!O53,tco_data!O$2:O$129,1))))</f>
        <v/>
      </c>
      <c r="B53" s="162" t="str">
        <f t="shared" si="0"/>
        <v>MFD-Colour High Kyocera</v>
      </c>
      <c r="C53" s="41" t="str">
        <f>Lists!L53</f>
        <v>TASKalfa 7054ci</v>
      </c>
      <c r="D53" s="44" t="str">
        <f>Lists!M53</f>
        <v>MFD-Colour</v>
      </c>
      <c r="E53" s="41" t="str">
        <f>Lists!N53</f>
        <v>Kyocera</v>
      </c>
      <c r="F53" s="41" t="str">
        <f>Lists!O53</f>
        <v>High</v>
      </c>
      <c r="G53" s="41">
        <v>4</v>
      </c>
      <c r="H53" s="163">
        <f>IF(C53="Not Offered","",VLOOKUP(C53,Data!$H:$BB,5,FALSE))</f>
        <v>11286</v>
      </c>
      <c r="I53" s="163">
        <f>IF(C53="Not Offered","",IF('Lowest TCO'!$B$3="Zone 1 (Perth Metro)",0,VLOOKUP($C53,Data!$H:$BG,43+(MATCH('Lowest TCO'!$B$3,Locations,0)),FALSE)))</f>
        <v>0</v>
      </c>
      <c r="J53" s="35">
        <f>IF(C53="Not Offered","",VLOOKUP($C53,Data!$H:$AL,4+2*(MATCH('Lowest TCO'!$B$3,Locations,0)),FALSE))</f>
        <v>9.9000000000000008E-3</v>
      </c>
      <c r="K53" s="35">
        <f>IF(C53="Not Offered","",VLOOKUP($C53,Data!$H:$AL,5+2*(MATCH('Lowest TCO'!$B$3,Locations,0)),FALSE))</f>
        <v>9.9000000000000005E-2</v>
      </c>
      <c r="L53" s="164">
        <f>IF(H53="","",ROUNDUP(('Lowest TCO'!$D$3*5)/(VLOOKUP(tco_data!$C53,Data!$H:$J,3,FALSE)),0)*tco_data!$H53)</f>
        <v>11286</v>
      </c>
      <c r="M53" s="211">
        <f>IF(OR(H53="",J53="N/A"),"",(5*J53*('Lowest TCO'!$D$3*(IF(RIGHT(D53,2)="BW",1,1-'Lowest TCO'!$F$3)))))</f>
        <v>3960</v>
      </c>
      <c r="N53" s="211">
        <f>IF(OR(H53="",K53="N/A"),"",(5*K53*('Lowest TCO'!$D$3*('Lowest TCO'!$F$3))))</f>
        <v>9900</v>
      </c>
      <c r="O53" s="210">
        <f>IF(L53="","",IF(AND('Lowest TCO'!$H$3&lt;&gt;"All",'Lowest TCO'!$H$3&lt;&gt;tco_data!D53),"",IF(J53="N/A","",IF(AND(RIGHT($D53,2)="BW",'Lowest TCO'!$H$3=0),"",SUM(L53:N53)+I53))))</f>
        <v>25146</v>
      </c>
    </row>
    <row r="54" spans="1:15" ht="18" customHeight="1" x14ac:dyDescent="0.2">
      <c r="A54" s="209" t="str">
        <f>IF(O54="","",IF(AND(tco_data!D54&lt;&gt;'Lowest TCO'!H$3,'Lowest TCO'!H$3&lt;&gt;"All"),"",IF(ISNA(RANK(tco_data!O54,tco_data!O$2:O$129)),"",RANK(tco_data!O54,tco_data!O$2:O$129,1))))</f>
        <v/>
      </c>
      <c r="B54" s="161" t="str">
        <f t="shared" si="0"/>
        <v>MFD-Colour High Ricoh</v>
      </c>
      <c r="C54" s="40" t="str">
        <f>Lists!L54</f>
        <v>IM C6010</v>
      </c>
      <c r="D54" s="39" t="str">
        <f>Lists!M54</f>
        <v>MFD-Colour</v>
      </c>
      <c r="E54" s="40" t="str">
        <f>Lists!N54</f>
        <v>Ricoh</v>
      </c>
      <c r="F54" s="40" t="str">
        <f>Lists!O54</f>
        <v>High</v>
      </c>
      <c r="G54" s="40">
        <v>1</v>
      </c>
      <c r="H54" s="159">
        <f>IF(C54="Not Offered","",VLOOKUP(C54,Data!$H:$BB,5,FALSE))</f>
        <v>6206.1120000000001</v>
      </c>
      <c r="I54" s="159">
        <f>IF(C54="Not Offered","",IF('Lowest TCO'!$B$3="Zone 1 (Perth Metro)",0,VLOOKUP($C54,Data!$H:$BG,43+(MATCH('Lowest TCO'!$B$3,Locations,0)),FALSE)))</f>
        <v>1344.64</v>
      </c>
      <c r="J54" s="28">
        <f>IF(C54="Not Offered","",VLOOKUP($C54,Data!$H:$AL,4+2*(MATCH('Lowest TCO'!$B$3,Locations,0)),FALSE))</f>
        <v>1.1000000000000001E-2</v>
      </c>
      <c r="K54" s="28">
        <f>IF(C54="Not Offered","",VLOOKUP($C54,Data!$H:$AL,5+2*(MATCH('Lowest TCO'!$B$3,Locations,0)),FALSE))</f>
        <v>0.11000000000000001</v>
      </c>
      <c r="L54" s="160">
        <f>IF(H54="","",ROUNDUP(('Lowest TCO'!$D$3*5)/(VLOOKUP(tco_data!$C54,Data!$H:$J,3,FALSE)),0)*tco_data!$H54)</f>
        <v>6206.1120000000001</v>
      </c>
      <c r="M54" s="210">
        <f>IF(OR(H54="",J54="N/A"),"",(5*J54*('Lowest TCO'!$D$3*(IF(RIGHT(D54,2)="BW",1,1-'Lowest TCO'!$F$3)))))</f>
        <v>4400.0000000000009</v>
      </c>
      <c r="N54" s="210">
        <f>IF(OR(H54="",K54="N/A"),"",(5*K54*('Lowest TCO'!$D$3*('Lowest TCO'!$F$3))))</f>
        <v>11000</v>
      </c>
      <c r="O54" s="210">
        <f>IF(L54="","",IF(AND('Lowest TCO'!$H$3&lt;&gt;"All",'Lowest TCO'!$H$3&lt;&gt;tco_data!D54),"",IF(J54="N/A","",IF(AND(RIGHT($D54,2)="BW",'Lowest TCO'!$H$3=0),"",SUM(L54:N54)+I54))))</f>
        <v>22950.752</v>
      </c>
    </row>
    <row r="55" spans="1:15" ht="18" customHeight="1" x14ac:dyDescent="0.2">
      <c r="A55" s="209" t="str">
        <f>IF(O55="","",IF(AND(tco_data!D55&lt;&gt;'Lowest TCO'!H$3,'Lowest TCO'!H$3&lt;&gt;"All"),"",IF(ISNA(RANK(tco_data!O55,tco_data!O$2:O$129)),"",RANK(tco_data!O55,tco_data!O$2:O$129,1))))</f>
        <v/>
      </c>
      <c r="B55" s="161" t="str">
        <f t="shared" si="0"/>
        <v>MFD-Colour High Ricoh</v>
      </c>
      <c r="C55" s="40" t="str">
        <f>Lists!L55</f>
        <v>IM C6500</v>
      </c>
      <c r="D55" s="39" t="str">
        <f>Lists!M55</f>
        <v>MFD-Colour</v>
      </c>
      <c r="E55" s="40" t="str">
        <f>Lists!N55</f>
        <v>Ricoh</v>
      </c>
      <c r="F55" s="40" t="str">
        <f>Lists!O55</f>
        <v>High</v>
      </c>
      <c r="G55" s="40">
        <v>2</v>
      </c>
      <c r="H55" s="159">
        <f>IF(C55="Not Offered","",VLOOKUP(C55,Data!$H:$BB,5,FALSE))</f>
        <v>12355.2</v>
      </c>
      <c r="I55" s="159">
        <f>IF(C55="Not Offered","",IF('Lowest TCO'!$B$3="Zone 1 (Perth Metro)",0,VLOOKUP($C55,Data!$H:$BG,43+(MATCH('Lowest TCO'!$B$3,Locations,0)),FALSE)))</f>
        <v>2024.0000000000002</v>
      </c>
      <c r="J55" s="28">
        <f>IF(C55="Not Offered","",VLOOKUP($C55,Data!$H:$AL,4+2*(MATCH('Lowest TCO'!$B$3,Locations,0)),FALSE))</f>
        <v>1.1000000000000001E-2</v>
      </c>
      <c r="K55" s="28">
        <f>IF(C55="Not Offered","",VLOOKUP($C55,Data!$H:$AL,5+2*(MATCH('Lowest TCO'!$B$3,Locations,0)),FALSE))</f>
        <v>0.11000000000000001</v>
      </c>
      <c r="L55" s="160">
        <f>IF(H55="","",ROUNDUP(('Lowest TCO'!$D$3*5)/(VLOOKUP(tco_data!$C55,Data!$H:$J,3,FALSE)),0)*tco_data!$H55)</f>
        <v>12355.2</v>
      </c>
      <c r="M55" s="210">
        <f>IF(OR(H55="",J55="N/A"),"",(5*J55*('Lowest TCO'!$D$3*(IF(RIGHT(D55,2)="BW",1,1-'Lowest TCO'!$F$3)))))</f>
        <v>4400.0000000000009</v>
      </c>
      <c r="N55" s="210">
        <f>IF(OR(H55="",K55="N/A"),"",(5*K55*('Lowest TCO'!$D$3*('Lowest TCO'!$F$3))))</f>
        <v>11000</v>
      </c>
      <c r="O55" s="210">
        <f>IF(L55="","",IF(AND('Lowest TCO'!$H$3&lt;&gt;"All",'Lowest TCO'!$H$3&lt;&gt;tco_data!D55),"",IF(J55="N/A","",IF(AND(RIGHT($D55,2)="BW",'Lowest TCO'!$H$3=0),"",SUM(L55:N55)+I55))))</f>
        <v>29779.200000000001</v>
      </c>
    </row>
    <row r="56" spans="1:15" ht="18" customHeight="1" x14ac:dyDescent="0.2">
      <c r="A56" s="209" t="str">
        <f>IF(O56="","",IF(AND(tco_data!D56&lt;&gt;'Lowest TCO'!H$3,'Lowest TCO'!H$3&lt;&gt;"All"),"",IF(ISNA(RANK(tco_data!O56,tco_data!O$2:O$129)),"",RANK(tco_data!O56,tco_data!O$2:O$129,1))))</f>
        <v/>
      </c>
      <c r="B56" s="161" t="str">
        <f t="shared" si="0"/>
        <v>MFD-Colour High Ricoh</v>
      </c>
      <c r="C56" s="40" t="str">
        <f>Lists!L56</f>
        <v>IM C8000</v>
      </c>
      <c r="D56" s="39" t="str">
        <f>Lists!M56</f>
        <v>MFD-Colour</v>
      </c>
      <c r="E56" s="40" t="str">
        <f>Lists!N56</f>
        <v>Ricoh</v>
      </c>
      <c r="F56" s="40" t="str">
        <f>Lists!O56</f>
        <v>High</v>
      </c>
      <c r="G56" s="40">
        <v>3</v>
      </c>
      <c r="H56" s="159">
        <f>IF(C56="Not Offered","",VLOOKUP(C56,Data!$H:$BB,5,FALSE))</f>
        <v>13420.836000000001</v>
      </c>
      <c r="I56" s="159">
        <f>IF(C56="Not Offered","",IF('Lowest TCO'!$B$3="Zone 1 (Perth Metro)",0,VLOOKUP($C56,Data!$H:$BG,43+(MATCH('Lowest TCO'!$B$3,Locations,0)),FALSE)))</f>
        <v>2122.67</v>
      </c>
      <c r="J56" s="28">
        <f>IF(C56="Not Offered","",VLOOKUP($C56,Data!$H:$AL,4+2*(MATCH('Lowest TCO'!$B$3,Locations,0)),FALSE))</f>
        <v>1.1000000000000001E-2</v>
      </c>
      <c r="K56" s="28">
        <f>IF(C56="Not Offered","",VLOOKUP($C56,Data!$H:$AL,5+2*(MATCH('Lowest TCO'!$B$3,Locations,0)),FALSE))</f>
        <v>0.11000000000000001</v>
      </c>
      <c r="L56" s="160">
        <f>IF(H56="","",ROUNDUP(('Lowest TCO'!$D$3*5)/(VLOOKUP(tco_data!$C56,Data!$H:$J,3,FALSE)),0)*tco_data!$H56)</f>
        <v>13420.836000000001</v>
      </c>
      <c r="M56" s="210">
        <f>IF(OR(H56="",J56="N/A"),"",(5*J56*('Lowest TCO'!$D$3*(IF(RIGHT(D56,2)="BW",1,1-'Lowest TCO'!$F$3)))))</f>
        <v>4400.0000000000009</v>
      </c>
      <c r="N56" s="210">
        <f>IF(OR(H56="",K56="N/A"),"",(5*K56*('Lowest TCO'!$D$3*('Lowest TCO'!$F$3))))</f>
        <v>11000</v>
      </c>
      <c r="O56" s="210">
        <f>IF(L56="","",IF(AND('Lowest TCO'!$H$3&lt;&gt;"All",'Lowest TCO'!$H$3&lt;&gt;tco_data!D56),"",IF(J56="N/A","",IF(AND(RIGHT($D56,2)="BW",'Lowest TCO'!$H$3=0),"",SUM(L56:N56)+I56))))</f>
        <v>30943.506000000001</v>
      </c>
    </row>
    <row r="57" spans="1:15" ht="18" customHeight="1" x14ac:dyDescent="0.2">
      <c r="A57" s="209" t="str">
        <f>IF(O57="","",IF(AND(tco_data!D57&lt;&gt;'Lowest TCO'!H$3,'Lowest TCO'!H$3&lt;&gt;"All"),"",IF(ISNA(RANK(tco_data!O57,tco_data!O$2:O$129)),"",RANK(tco_data!O57,tco_data!O$2:O$129,1))))</f>
        <v/>
      </c>
      <c r="B57" s="162" t="str">
        <f t="shared" si="0"/>
        <v>MFD-Colour High Ricoh</v>
      </c>
      <c r="C57" s="41" t="str">
        <f>Lists!L57</f>
        <v>Not Offered</v>
      </c>
      <c r="D57" s="44" t="str">
        <f>Lists!M57</f>
        <v>MFD-Colour</v>
      </c>
      <c r="E57" s="41" t="str">
        <f>Lists!N57</f>
        <v>Ricoh</v>
      </c>
      <c r="F57" s="41" t="str">
        <f>Lists!O57</f>
        <v>High</v>
      </c>
      <c r="G57" s="41">
        <v>4</v>
      </c>
      <c r="H57" s="163" t="str">
        <f>IF(C57="Not Offered","",VLOOKUP(C57,Data!$H:$BB,5,FALSE))</f>
        <v/>
      </c>
      <c r="I57" s="163" t="str">
        <f>IF(C57="Not Offered","",IF('Lowest TCO'!$B$3="Zone 1 (Perth Metro)",0,VLOOKUP($C57,Data!$H:$BG,43+(MATCH('Lowest TCO'!$B$3,Locations,0)),FALSE)))</f>
        <v/>
      </c>
      <c r="J57" s="35" t="str">
        <f>IF(C57="Not Offered","",VLOOKUP($C57,Data!$H:$AL,4+2*(MATCH('Lowest TCO'!$B$3,Locations,0)),FALSE))</f>
        <v/>
      </c>
      <c r="K57" s="35" t="str">
        <f>IF(C57="Not Offered","",VLOOKUP($C57,Data!$H:$AL,5+2*(MATCH('Lowest TCO'!$B$3,Locations,0)),FALSE))</f>
        <v/>
      </c>
      <c r="L57" s="164" t="str">
        <f>IF(H57="","",ROUNDUP(('Lowest TCO'!$D$3*5)/(VLOOKUP(tco_data!$C57,Data!$H:$J,3,FALSE)),0)*tco_data!$H57)</f>
        <v/>
      </c>
      <c r="M57" s="211" t="str">
        <f>IF(OR(H57="",J57="N/A"),"",(5*J57*('Lowest TCO'!$D$3*(IF(RIGHT(D57,2)="BW",1,1-'Lowest TCO'!$F$3)))))</f>
        <v/>
      </c>
      <c r="N57" s="211" t="str">
        <f>IF(OR(H57="",K57="N/A"),"",(5*K57*('Lowest TCO'!$D$3*('Lowest TCO'!$F$3))))</f>
        <v/>
      </c>
      <c r="O57" s="210" t="str">
        <f>IF(L57="","",IF(AND('Lowest TCO'!$H$3&lt;&gt;"All",'Lowest TCO'!$H$3&lt;&gt;tco_data!D57),"",IF(J57="N/A","",IF(AND(RIGHT($D57,2)="BW",'Lowest TCO'!$H$3=0),"",SUM(L57:N57)+I57))))</f>
        <v/>
      </c>
    </row>
    <row r="58" spans="1:15" ht="18" customHeight="1" x14ac:dyDescent="0.2">
      <c r="A58" s="209" t="e">
        <f>IF(O58="","",IF(AND(tco_data!D58&lt;&gt;'Lowest TCO'!H$3,'Lowest TCO'!H$3&lt;&gt;"All"),"",IF(ISNA(RANK(tco_data!O58,tco_data!O$2:O$129)),"",RANK(tco_data!O58,tco_data!O$2:O$129,1))))</f>
        <v>#N/A</v>
      </c>
      <c r="B58" s="161" t="str">
        <f t="shared" si="0"/>
        <v>MFD-BW Entry Fuji Business Innovation</v>
      </c>
      <c r="C58" s="39" t="e">
        <f>Lists!L58</f>
        <v>#N/A</v>
      </c>
      <c r="D58" s="39" t="str">
        <f>Lists!M58</f>
        <v>MFD-BW</v>
      </c>
      <c r="E58" s="40" t="str">
        <f>Lists!N58</f>
        <v>Fuji Business Innovation</v>
      </c>
      <c r="F58" s="39" t="str">
        <f>Lists!O58</f>
        <v>Entry</v>
      </c>
      <c r="G58" s="39">
        <v>1</v>
      </c>
      <c r="H58" s="159" t="e">
        <f>IF(C58="Not Offered","",VLOOKUP(C58,Data!$H:$BB,5,FALSE))</f>
        <v>#N/A</v>
      </c>
      <c r="I58" s="159" t="e">
        <f>IF(C58="Not Offered","",IF('Lowest TCO'!$B$3="Zone 1 (Perth Metro)",0,VLOOKUP($C58,Data!$H:$BG,43+(MATCH('Lowest TCO'!$B$3,Locations,0)),FALSE)))</f>
        <v>#N/A</v>
      </c>
      <c r="J58" s="28" t="e">
        <f>IF(C58="Not Offered","",VLOOKUP($C58,Data!$H:$AL,4+2*(MATCH('Lowest TCO'!$B$3,Locations,0)),FALSE))</f>
        <v>#N/A</v>
      </c>
      <c r="K58" s="28" t="e">
        <f>IF(C58="Not Offered","",VLOOKUP($C58,Data!$H:$AL,5+2*(MATCH('Lowest TCO'!$B$3,Locations,0)),FALSE))</f>
        <v>#N/A</v>
      </c>
      <c r="L58" s="160" t="e">
        <f>IF(H58="","",ROUNDUP(('Lowest TCO'!$D$3*5)/(VLOOKUP(tco_data!$C58,Data!$H:$J,3,FALSE)),0)*tco_data!$H58)</f>
        <v>#N/A</v>
      </c>
      <c r="M58" s="210" t="e">
        <f>IF(OR(H58="",J58="N/A"),"",(5*J58*('Lowest TCO'!$D$3*(IF(RIGHT(D58,2)="BW",1,1-'Lowest TCO'!$F$3)))))</f>
        <v>#N/A</v>
      </c>
      <c r="N58" s="210" t="e">
        <f>IF(OR(H58="",K58="N/A"),"",(5*K58*('Lowest TCO'!$D$3*('Lowest TCO'!$F$3))))</f>
        <v>#N/A</v>
      </c>
      <c r="O58" s="210" t="e">
        <f>IF(L58="","",IF(AND('Lowest TCO'!$H$3&lt;&gt;"All",'Lowest TCO'!$H$3&lt;&gt;tco_data!D58),"",IF(J58="N/A","",IF(AND(RIGHT($D58,2)="BW",'Lowest TCO'!$H$3=0),"",SUM(L58:N58)+I58))))</f>
        <v>#N/A</v>
      </c>
    </row>
    <row r="59" spans="1:15" ht="18" customHeight="1" x14ac:dyDescent="0.2">
      <c r="A59" s="209" t="str">
        <f>IF(O59="","",IF(AND(tco_data!D59&lt;&gt;'Lowest TCO'!H$3,'Lowest TCO'!H$3&lt;&gt;"All"),"",IF(ISNA(RANK(tco_data!O59,tco_data!O$2:O$129)),"",RANK(tco_data!O59,tco_data!O$2:O$129,1))))</f>
        <v/>
      </c>
      <c r="B59" s="161" t="str">
        <f t="shared" si="0"/>
        <v>MFD-BW Entry Konica Minolta</v>
      </c>
      <c r="C59" s="39" t="str">
        <f>Lists!L59</f>
        <v>bizhub 227</v>
      </c>
      <c r="D59" s="39" t="str">
        <f>Lists!M59</f>
        <v>MFD-BW</v>
      </c>
      <c r="E59" s="40" t="str">
        <f>Lists!N59</f>
        <v>Konica Minolta</v>
      </c>
      <c r="F59" s="39" t="str">
        <f>Lists!O59</f>
        <v>Entry</v>
      </c>
      <c r="G59" s="39">
        <v>1</v>
      </c>
      <c r="H59" s="159">
        <f>IF(C59="Not Offered","",VLOOKUP(C59,Data!$H:$BB,5,FALSE))</f>
        <v>2509.9525000000003</v>
      </c>
      <c r="I59" s="159">
        <f>IF(C59="Not Offered","",IF('Lowest TCO'!$B$3="Zone 1 (Perth Metro)",0,VLOOKUP($C59,Data!$H:$BG,43+(MATCH('Lowest TCO'!$B$3,Locations,0)),FALSE)))</f>
        <v>1034</v>
      </c>
      <c r="J59" s="28">
        <f>IF(C59="Not Offered","",VLOOKUP($C59,Data!$H:$AL,4+2*(MATCH('Lowest TCO'!$B$3,Locations,0)),FALSE))</f>
        <v>1.54E-2</v>
      </c>
      <c r="K59" s="28">
        <f>IF(C59="Not Offered","",VLOOKUP($C59,Data!$H:$AL,5+2*(MATCH('Lowest TCO'!$B$3,Locations,0)),FALSE))</f>
        <v>0</v>
      </c>
      <c r="L59" s="160">
        <f>IF(H59="","",ROUNDUP(('Lowest TCO'!$D$3*5)/(VLOOKUP(tco_data!$C59,Data!$H:$J,3,FALSE)),0)*tco_data!$H59)</f>
        <v>2509.9525000000003</v>
      </c>
      <c r="M59" s="210">
        <f>IF(OR(H59="",J59="N/A"),"",(5*J59*('Lowest TCO'!$D$3*(IF(RIGHT(D59,2)="BW",1,1-'Lowest TCO'!$F$3)))))</f>
        <v>7700</v>
      </c>
      <c r="N59" s="210">
        <f>IF(OR(H59="",K59="N/A"),"",(5*K59*('Lowest TCO'!$D$3*('Lowest TCO'!$F$3))))</f>
        <v>0</v>
      </c>
      <c r="O59" s="210" t="str">
        <f>IF(L59="","",IF(AND('Lowest TCO'!$H$3&lt;&gt;"All",'Lowest TCO'!$H$3&lt;&gt;tco_data!D59),"",IF(J59="N/A","",IF(AND(RIGHT($D59,2)="BW",'Lowest TCO'!$H$3=0),"",SUM(L59:N59)+I59))))</f>
        <v/>
      </c>
    </row>
    <row r="60" spans="1:15" ht="18" customHeight="1" x14ac:dyDescent="0.2">
      <c r="A60" s="209" t="str">
        <f>IF(O60="","",IF(AND(tco_data!D60&lt;&gt;'Lowest TCO'!H$3,'Lowest TCO'!H$3&lt;&gt;"All"),"",IF(ISNA(RANK(tco_data!O60,tco_data!O$2:O$129)),"",RANK(tco_data!O60,tco_data!O$2:O$129,1))))</f>
        <v/>
      </c>
      <c r="B60" s="161" t="str">
        <f t="shared" si="0"/>
        <v>MFD-BW Entry Kyocera</v>
      </c>
      <c r="C60" s="39" t="str">
        <f>Lists!L60</f>
        <v>Ecosys M4125idn</v>
      </c>
      <c r="D60" s="39" t="str">
        <f>Lists!M60</f>
        <v>MFD-BW</v>
      </c>
      <c r="E60" s="40" t="str">
        <f>Lists!N60</f>
        <v>Kyocera</v>
      </c>
      <c r="F60" s="39" t="str">
        <f>Lists!O60</f>
        <v>Entry</v>
      </c>
      <c r="G60" s="39">
        <v>1</v>
      </c>
      <c r="H60" s="159">
        <f>IF(C60="Not Offered","",VLOOKUP(C60,Data!$H:$BB,5,FALSE))</f>
        <v>1826</v>
      </c>
      <c r="I60" s="159">
        <f>IF(C60="Not Offered","",IF('Lowest TCO'!$B$3="Zone 1 (Perth Metro)",0,VLOOKUP($C60,Data!$H:$BG,43+(MATCH('Lowest TCO'!$B$3,Locations,0)),FALSE)))</f>
        <v>330</v>
      </c>
      <c r="J60" s="28">
        <f>IF(C60="Not Offered","",VLOOKUP($C60,Data!$H:$AL,4+2*(MATCH('Lowest TCO'!$B$3,Locations,0)),FALSE))</f>
        <v>1.6500000000000001E-2</v>
      </c>
      <c r="K60" s="28">
        <f>IF(C60="Not Offered","",VLOOKUP($C60,Data!$H:$AL,5+2*(MATCH('Lowest TCO'!$B$3,Locations,0)),FALSE))</f>
        <v>0</v>
      </c>
      <c r="L60" s="160">
        <f>IF(H60="","",ROUNDUP(('Lowest TCO'!$D$3*5)/(VLOOKUP(tco_data!$C60,Data!$H:$J,3,FALSE)),0)*tco_data!$H60)</f>
        <v>1826</v>
      </c>
      <c r="M60" s="210">
        <f>IF(OR(H60="",J60="N/A"),"",(5*J60*('Lowest TCO'!$D$3*(IF(RIGHT(D60,2)="BW",1,1-'Lowest TCO'!$F$3)))))</f>
        <v>8250</v>
      </c>
      <c r="N60" s="210">
        <f>IF(OR(H60="",K60="N/A"),"",(5*K60*('Lowest TCO'!$D$3*('Lowest TCO'!$F$3))))</f>
        <v>0</v>
      </c>
      <c r="O60" s="210" t="str">
        <f>IF(L60="","",IF(AND('Lowest TCO'!$H$3&lt;&gt;"All",'Lowest TCO'!$H$3&lt;&gt;tco_data!D60),"",IF(J60="N/A","",IF(AND(RIGHT($D60,2)="BW",'Lowest TCO'!$H$3=0),"",SUM(L60:N60)+I60))))</f>
        <v/>
      </c>
    </row>
    <row r="61" spans="1:15" ht="18" customHeight="1" x14ac:dyDescent="0.2">
      <c r="A61" s="209" t="str">
        <f>IF(O61="","",IF(AND(tco_data!D61&lt;&gt;'Lowest TCO'!H$3,'Lowest TCO'!H$3&lt;&gt;"All"),"",IF(ISNA(RANK(tco_data!O61,tco_data!O$2:O$129)),"",RANK(tco_data!O61,tco_data!O$2:O$129,1))))</f>
        <v/>
      </c>
      <c r="B61" s="161" t="str">
        <f t="shared" si="0"/>
        <v>MFD-BW Entry Ricoh</v>
      </c>
      <c r="C61" s="39" t="str">
        <f>Lists!L61</f>
        <v>M 320F</v>
      </c>
      <c r="D61" s="39" t="str">
        <f>Lists!M61</f>
        <v>MFD-BW</v>
      </c>
      <c r="E61" s="40" t="str">
        <f>Lists!N61</f>
        <v>Ricoh</v>
      </c>
      <c r="F61" s="39" t="str">
        <f>Lists!O61</f>
        <v>Entry</v>
      </c>
      <c r="G61" s="39">
        <v>1</v>
      </c>
      <c r="H61" s="159">
        <f>IF(C61="Not Offered","",VLOOKUP(C61,Data!$H:$BB,5,FALSE))</f>
        <v>496.58400000000006</v>
      </c>
      <c r="I61" s="159">
        <f>IF(C61="Not Offered","",IF('Lowest TCO'!$B$3="Zone 1 (Perth Metro)",0,VLOOKUP($C61,Data!$H:$BG,43+(MATCH('Lowest TCO'!$B$3,Locations,0)),FALSE)))</f>
        <v>434.65840000000003</v>
      </c>
      <c r="J61" s="28">
        <f>IF(C61="Not Offered","",VLOOKUP($C61,Data!$H:$AL,4+2*(MATCH('Lowest TCO'!$B$3,Locations,0)),FALSE))</f>
        <v>4.3999999999999997E-2</v>
      </c>
      <c r="K61" s="28">
        <f>IF(C61="Not Offered","",VLOOKUP($C61,Data!$H:$AL,5+2*(MATCH('Lowest TCO'!$B$3,Locations,0)),FALSE))</f>
        <v>0</v>
      </c>
      <c r="L61" s="160">
        <f>IF(H61="","",ROUNDUP(('Lowest TCO'!$D$3*5)/(VLOOKUP(tco_data!$C61,Data!$H:$J,3,FALSE)),0)*tco_data!$H61)</f>
        <v>993.16800000000012</v>
      </c>
      <c r="M61" s="210">
        <f>IF(OR(H61="",J61="N/A"),"",(5*J61*('Lowest TCO'!$D$3*(IF(RIGHT(D61,2)="BW",1,1-'Lowest TCO'!$F$3)))))</f>
        <v>21999.999999999996</v>
      </c>
      <c r="N61" s="210">
        <f>IF(OR(H61="",K61="N/A"),"",(5*K61*('Lowest TCO'!$D$3*('Lowest TCO'!$F$3))))</f>
        <v>0</v>
      </c>
      <c r="O61" s="210" t="str">
        <f>IF(L61="","",IF(AND('Lowest TCO'!$H$3&lt;&gt;"All",'Lowest TCO'!$H$3&lt;&gt;tco_data!D61),"",IF(J61="N/A","",IF(AND(RIGHT($D61,2)="BW",'Lowest TCO'!$H$3=0),"",SUM(L61:N61)+I61))))</f>
        <v/>
      </c>
    </row>
    <row r="62" spans="1:15" ht="18" customHeight="1" x14ac:dyDescent="0.2">
      <c r="A62" s="209" t="e">
        <f>IF(O62="","",IF(AND(tco_data!D62&lt;&gt;'Lowest TCO'!H$3,'Lowest TCO'!H$3&lt;&gt;"All"),"",IF(ISNA(RANK(tco_data!O62,tco_data!O$2:O$129)),"",RANK(tco_data!O62,tco_data!O$2:O$129,1))))</f>
        <v>#N/A</v>
      </c>
      <c r="B62" s="161" t="str">
        <f t="shared" si="0"/>
        <v>MFD-BW Low Fuji Business Innovation</v>
      </c>
      <c r="C62" s="39" t="e">
        <f>Lists!L62</f>
        <v>#N/A</v>
      </c>
      <c r="D62" s="39" t="str">
        <f>Lists!M62</f>
        <v>MFD-BW</v>
      </c>
      <c r="E62" s="40" t="str">
        <f>Lists!N62</f>
        <v>Fuji Business Innovation</v>
      </c>
      <c r="F62" s="39" t="str">
        <f>Lists!O62</f>
        <v>Low</v>
      </c>
      <c r="G62" s="39">
        <v>1</v>
      </c>
      <c r="H62" s="159" t="e">
        <f>IF(C62="Not Offered","",VLOOKUP(C62,Data!$H:$BB,5,FALSE))</f>
        <v>#N/A</v>
      </c>
      <c r="I62" s="159" t="e">
        <f>IF(C62="Not Offered","",IF('Lowest TCO'!$B$3="Zone 1 (Perth Metro)",0,VLOOKUP($C62,Data!$H:$BG,43+(MATCH('Lowest TCO'!$B$3,Locations,0)),FALSE)))</f>
        <v>#N/A</v>
      </c>
      <c r="J62" s="28" t="e">
        <f>IF(C62="Not Offered","",VLOOKUP($C62,Data!$H:$AL,4+2*(MATCH('Lowest TCO'!$B$3,Locations,0)),FALSE))</f>
        <v>#N/A</v>
      </c>
      <c r="K62" s="28" t="e">
        <f>IF(C62="Not Offered","",VLOOKUP($C62,Data!$H:$AL,5+2*(MATCH('Lowest TCO'!$B$3,Locations,0)),FALSE))</f>
        <v>#N/A</v>
      </c>
      <c r="L62" s="160" t="e">
        <f>IF(H62="","",ROUNDUP(('Lowest TCO'!$D$3*5)/(VLOOKUP(tco_data!$C62,Data!$H:$J,3,FALSE)),0)*tco_data!$H62)</f>
        <v>#N/A</v>
      </c>
      <c r="M62" s="210" t="e">
        <f>IF(OR(H62="",J62="N/A"),"",(5*J62*('Lowest TCO'!$D$3*(IF(RIGHT(D62,2)="BW",1,1-'Lowest TCO'!$F$3)))))</f>
        <v>#N/A</v>
      </c>
      <c r="N62" s="210" t="e">
        <f>IF(OR(H62="",K62="N/A"),"",(5*K62*('Lowest TCO'!$D$3*('Lowest TCO'!$F$3))))</f>
        <v>#N/A</v>
      </c>
      <c r="O62" s="210" t="e">
        <f>IF(L62="","",IF(AND('Lowest TCO'!$H$3&lt;&gt;"All",'Lowest TCO'!$H$3&lt;&gt;tco_data!D62),"",IF(J62="N/A","",IF(AND(RIGHT($D62,2)="BW",'Lowest TCO'!$H$3=0),"",SUM(L62:N62)+I62))))</f>
        <v>#N/A</v>
      </c>
    </row>
    <row r="63" spans="1:15" ht="18" customHeight="1" x14ac:dyDescent="0.2">
      <c r="A63" s="209" t="e">
        <f>IF(O63="","",IF(AND(tco_data!D63&lt;&gt;'Lowest TCO'!H$3,'Lowest TCO'!H$3&lt;&gt;"All"),"",IF(ISNA(RANK(tco_data!O63,tco_data!O$2:O$129)),"",RANK(tco_data!O63,tco_data!O$2:O$129,1))))</f>
        <v>#N/A</v>
      </c>
      <c r="B63" s="161" t="str">
        <f t="shared" si="0"/>
        <v>MFD-BW Low Fuji Business Innovation</v>
      </c>
      <c r="C63" s="39" t="e">
        <f>Lists!L63</f>
        <v>#N/A</v>
      </c>
      <c r="D63" s="39" t="str">
        <f>Lists!M63</f>
        <v>MFD-BW</v>
      </c>
      <c r="E63" s="40" t="str">
        <f>Lists!N63</f>
        <v>Fuji Business Innovation</v>
      </c>
      <c r="F63" s="39" t="str">
        <f>Lists!O63</f>
        <v>Low</v>
      </c>
      <c r="G63" s="39">
        <v>2</v>
      </c>
      <c r="H63" s="159" t="e">
        <f>IF(C63="Not Offered","",VLOOKUP(C63,Data!$H:$BB,5,FALSE))</f>
        <v>#N/A</v>
      </c>
      <c r="I63" s="159" t="e">
        <f>IF(C63="Not Offered","",IF('Lowest TCO'!$B$3="Zone 1 (Perth Metro)",0,VLOOKUP($C63,Data!$H:$BG,43+(MATCH('Lowest TCO'!$B$3,Locations,0)),FALSE)))</f>
        <v>#N/A</v>
      </c>
      <c r="J63" s="28" t="e">
        <f>IF(C63="Not Offered","",VLOOKUP($C63,Data!$H:$AL,4+2*(MATCH('Lowest TCO'!$B$3,Locations,0)),FALSE))</f>
        <v>#N/A</v>
      </c>
      <c r="K63" s="28" t="e">
        <f>IF(C63="Not Offered","",VLOOKUP($C63,Data!$H:$AL,5+2*(MATCH('Lowest TCO'!$B$3,Locations,0)),FALSE))</f>
        <v>#N/A</v>
      </c>
      <c r="L63" s="160" t="e">
        <f>IF(H63="","",ROUNDUP(('Lowest TCO'!$D$3*5)/(VLOOKUP(tco_data!$C63,Data!$H:$J,3,FALSE)),0)*tco_data!$H63)</f>
        <v>#N/A</v>
      </c>
      <c r="M63" s="210" t="e">
        <f>IF(OR(H63="",J63="N/A"),"",(5*J63*('Lowest TCO'!$D$3*(IF(RIGHT(D63,2)="BW",1,1-'Lowest TCO'!$F$3)))))</f>
        <v>#N/A</v>
      </c>
      <c r="N63" s="210" t="e">
        <f>IF(OR(H63="",K63="N/A"),"",(5*K63*('Lowest TCO'!$D$3*('Lowest TCO'!$F$3))))</f>
        <v>#N/A</v>
      </c>
      <c r="O63" s="210" t="e">
        <f>IF(L63="","",IF(AND('Lowest TCO'!$H$3&lt;&gt;"All",'Lowest TCO'!$H$3&lt;&gt;tco_data!D63),"",IF(J63="N/A","",IF(AND(RIGHT($D63,2)="BW",'Lowest TCO'!$H$3=0),"",SUM(L63:N63)+I63))))</f>
        <v>#N/A</v>
      </c>
    </row>
    <row r="64" spans="1:15" ht="18" customHeight="1" x14ac:dyDescent="0.2">
      <c r="A64" s="209" t="str">
        <f>IF(O64="","",IF(AND(tco_data!D64&lt;&gt;'Lowest TCO'!H$3,'Lowest TCO'!H$3&lt;&gt;"All"),"",IF(ISNA(RANK(tco_data!O64,tco_data!O$2:O$129)),"",RANK(tco_data!O64,tco_data!O$2:O$129,1))))</f>
        <v/>
      </c>
      <c r="B64" s="161" t="str">
        <f t="shared" si="0"/>
        <v>MFD-BW Low Konica Minolta</v>
      </c>
      <c r="C64" s="39" t="str">
        <f>Lists!L64</f>
        <v>bizhub 300i</v>
      </c>
      <c r="D64" s="39" t="str">
        <f>Lists!M64</f>
        <v>MFD-BW</v>
      </c>
      <c r="E64" s="40" t="str">
        <f>Lists!N64</f>
        <v>Konica Minolta</v>
      </c>
      <c r="F64" s="39" t="str">
        <f>Lists!O64</f>
        <v>Low</v>
      </c>
      <c r="G64" s="39">
        <v>1</v>
      </c>
      <c r="H64" s="159">
        <f>IF(C64="Not Offered","",VLOOKUP(C64,Data!$H:$BB,5,FALSE))</f>
        <v>3133.7625000000003</v>
      </c>
      <c r="I64" s="159">
        <f>IF(C64="Not Offered","",IF('Lowest TCO'!$B$3="Zone 1 (Perth Metro)",0,VLOOKUP($C64,Data!$H:$BG,43+(MATCH('Lowest TCO'!$B$3,Locations,0)),FALSE)))</f>
        <v>1100</v>
      </c>
      <c r="J64" s="28">
        <f>IF(C64="Not Offered","",VLOOKUP($C64,Data!$H:$AL,4+2*(MATCH('Lowest TCO'!$B$3,Locations,0)),FALSE))</f>
        <v>1.32E-2</v>
      </c>
      <c r="K64" s="28">
        <f>IF(C64="Not Offered","",VLOOKUP($C64,Data!$H:$AL,5+2*(MATCH('Lowest TCO'!$B$3,Locations,0)),FALSE))</f>
        <v>0</v>
      </c>
      <c r="L64" s="160">
        <f>IF(H64="","",ROUNDUP(('Lowest TCO'!$D$3*5)/(VLOOKUP(tco_data!$C64,Data!$H:$J,3,FALSE)),0)*tco_data!$H64)</f>
        <v>3133.7625000000003</v>
      </c>
      <c r="M64" s="210">
        <f>IF(OR(H64="",J64="N/A"),"",(5*J64*('Lowest TCO'!$D$3*(IF(RIGHT(D64,2)="BW",1,1-'Lowest TCO'!$F$3)))))</f>
        <v>6600</v>
      </c>
      <c r="N64" s="210">
        <f>IF(OR(H64="",K64="N/A"),"",(5*K64*('Lowest TCO'!$D$3*('Lowest TCO'!$F$3))))</f>
        <v>0</v>
      </c>
      <c r="O64" s="210" t="str">
        <f>IF(L64="","",IF(AND('Lowest TCO'!$H$3&lt;&gt;"All",'Lowest TCO'!$H$3&lt;&gt;tco_data!D64),"",IF(J64="N/A","",IF(AND(RIGHT($D64,2)="BW",'Lowest TCO'!$H$3=0),"",SUM(L64:N64)+I64))))</f>
        <v/>
      </c>
    </row>
    <row r="65" spans="1:15" ht="18" customHeight="1" x14ac:dyDescent="0.2">
      <c r="A65" s="209" t="str">
        <f>IF(O65="","",IF(AND(tco_data!D65&lt;&gt;'Lowest TCO'!H$3,'Lowest TCO'!H$3&lt;&gt;"All"),"",IF(ISNA(RANK(tco_data!O65,tco_data!O$2:O$129)),"",RANK(tco_data!O65,tco_data!O$2:O$129,1))))</f>
        <v/>
      </c>
      <c r="B65" s="161" t="str">
        <f t="shared" si="0"/>
        <v>MFD-BW Low Konica Minolta</v>
      </c>
      <c r="C65" s="39" t="str">
        <f>Lists!L65</f>
        <v>bizhub 360i</v>
      </c>
      <c r="D65" s="39" t="str">
        <f>Lists!M65</f>
        <v>MFD-BW</v>
      </c>
      <c r="E65" s="40" t="str">
        <f>Lists!N65</f>
        <v>Konica Minolta</v>
      </c>
      <c r="F65" s="39" t="str">
        <f>Lists!O65</f>
        <v>Low</v>
      </c>
      <c r="G65" s="39">
        <v>2</v>
      </c>
      <c r="H65" s="159">
        <f>IF(C65="Not Offered","",VLOOKUP(C65,Data!$H:$BB,5,FALSE))</f>
        <v>3369.1625000000004</v>
      </c>
      <c r="I65" s="159">
        <f>IF(C65="Not Offered","",IF('Lowest TCO'!$B$3="Zone 1 (Perth Metro)",0,VLOOKUP($C65,Data!$H:$BG,43+(MATCH('Lowest TCO'!$B$3,Locations,0)),FALSE)))</f>
        <v>1122</v>
      </c>
      <c r="J65" s="28">
        <f>IF(C65="Not Offered","",VLOOKUP($C65,Data!$H:$AL,4+2*(MATCH('Lowest TCO'!$B$3,Locations,0)),FALSE))</f>
        <v>1.32E-2</v>
      </c>
      <c r="K65" s="28">
        <f>IF(C65="Not Offered","",VLOOKUP($C65,Data!$H:$AL,5+2*(MATCH('Lowest TCO'!$B$3,Locations,0)),FALSE))</f>
        <v>0</v>
      </c>
      <c r="L65" s="160">
        <f>IF(H65="","",ROUNDUP(('Lowest TCO'!$D$3*5)/(VLOOKUP(tco_data!$C65,Data!$H:$J,3,FALSE)),0)*tco_data!$H65)</f>
        <v>3369.1625000000004</v>
      </c>
      <c r="M65" s="210">
        <f>IF(OR(H65="",J65="N/A"),"",(5*J65*('Lowest TCO'!$D$3*(IF(RIGHT(D65,2)="BW",1,1-'Lowest TCO'!$F$3)))))</f>
        <v>6600</v>
      </c>
      <c r="N65" s="210">
        <f>IF(OR(H65="",K65="N/A"),"",(5*K65*('Lowest TCO'!$D$3*('Lowest TCO'!$F$3))))</f>
        <v>0</v>
      </c>
      <c r="O65" s="210" t="str">
        <f>IF(L65="","",IF(AND('Lowest TCO'!$H$3&lt;&gt;"All",'Lowest TCO'!$H$3&lt;&gt;tco_data!D65),"",IF(J65="N/A","",IF(AND(RIGHT($D65,2)="BW",'Lowest TCO'!$H$3=0),"",SUM(L65:N65)+I65))))</f>
        <v/>
      </c>
    </row>
    <row r="66" spans="1:15" ht="18" customHeight="1" x14ac:dyDescent="0.2">
      <c r="A66" s="209" t="str">
        <f>IF(O66="","",IF(AND(tco_data!D66&lt;&gt;'Lowest TCO'!H$3,'Lowest TCO'!H$3&lt;&gt;"All"),"",IF(ISNA(RANK(tco_data!O66,tco_data!O$2:O$129)),"",RANK(tco_data!O66,tco_data!O$2:O$129,1))))</f>
        <v/>
      </c>
      <c r="B66" s="161" t="str">
        <f t="shared" si="0"/>
        <v>MFD-BW Low Kyocera</v>
      </c>
      <c r="C66" s="39" t="str">
        <f>Lists!L66</f>
        <v>Ecosys M4132idn</v>
      </c>
      <c r="D66" s="39" t="str">
        <f>Lists!M66</f>
        <v>MFD-BW</v>
      </c>
      <c r="E66" s="40" t="str">
        <f>Lists!N66</f>
        <v>Kyocera</v>
      </c>
      <c r="F66" s="39" t="str">
        <f>Lists!O66</f>
        <v>Low</v>
      </c>
      <c r="G66" s="39">
        <v>1</v>
      </c>
      <c r="H66" s="159">
        <f>IF(C66="Not Offered","",VLOOKUP(C66,Data!$H:$BB,5,FALSE))</f>
        <v>2145</v>
      </c>
      <c r="I66" s="159">
        <f>IF(C66="Not Offered","",IF('Lowest TCO'!$B$3="Zone 1 (Perth Metro)",0,VLOOKUP($C66,Data!$H:$BG,43+(MATCH('Lowest TCO'!$B$3,Locations,0)),FALSE)))</f>
        <v>330</v>
      </c>
      <c r="J66" s="28">
        <f>IF(C66="Not Offered","",VLOOKUP($C66,Data!$H:$AL,4+2*(MATCH('Lowest TCO'!$B$3,Locations,0)),FALSE))</f>
        <v>1.6500000000000001E-2</v>
      </c>
      <c r="K66" s="28">
        <f>IF(C66="Not Offered","",VLOOKUP($C66,Data!$H:$AL,5+2*(MATCH('Lowest TCO'!$B$3,Locations,0)),FALSE))</f>
        <v>0</v>
      </c>
      <c r="L66" s="160">
        <f>IF(H66="","",ROUNDUP(('Lowest TCO'!$D$3*5)/(VLOOKUP(tco_data!$C66,Data!$H:$J,3,FALSE)),0)*tco_data!$H66)</f>
        <v>2145</v>
      </c>
      <c r="M66" s="210">
        <f>IF(OR(H66="",J66="N/A"),"",(5*J66*('Lowest TCO'!$D$3*(IF(RIGHT(D66,2)="BW",1,1-'Lowest TCO'!$F$3)))))</f>
        <v>8250</v>
      </c>
      <c r="N66" s="210">
        <f>IF(OR(H66="",K66="N/A"),"",(5*K66*('Lowest TCO'!$D$3*('Lowest TCO'!$F$3))))</f>
        <v>0</v>
      </c>
      <c r="O66" s="210" t="str">
        <f>IF(L66="","",IF(AND('Lowest TCO'!$H$3&lt;&gt;"All",'Lowest TCO'!$H$3&lt;&gt;tco_data!D66),"",IF(J66="N/A","",IF(AND(RIGHT($D66,2)="BW",'Lowest TCO'!$H$3=0),"",SUM(L66:N66)+I66))))</f>
        <v/>
      </c>
    </row>
    <row r="67" spans="1:15" ht="18" customHeight="1" x14ac:dyDescent="0.2">
      <c r="A67" s="209" t="str">
        <f>IF(O67="","",IF(AND(tco_data!D67&lt;&gt;'Lowest TCO'!H$3,'Lowest TCO'!H$3&lt;&gt;"All"),"",IF(ISNA(RANK(tco_data!O67,tco_data!O$2:O$129)),"",RANK(tco_data!O67,tco_data!O$2:O$129,1))))</f>
        <v/>
      </c>
      <c r="B67" s="161" t="str">
        <f t="shared" ref="B67:B129" si="1">D67&amp;" "&amp;F67&amp;" "&amp;E67</f>
        <v>MFD-BW Low Kyocera</v>
      </c>
      <c r="C67" s="39" t="str">
        <f>Lists!L67</f>
        <v>MZ3200i</v>
      </c>
      <c r="D67" s="39" t="str">
        <f>Lists!M67</f>
        <v>MFD-BW</v>
      </c>
      <c r="E67" s="40" t="str">
        <f>Lists!N67</f>
        <v>Kyocera</v>
      </c>
      <c r="F67" s="39" t="str">
        <f>Lists!O67</f>
        <v>Low</v>
      </c>
      <c r="G67" s="39">
        <v>2</v>
      </c>
      <c r="H67" s="159">
        <f>IF(C67="Not Offered","",VLOOKUP(C67,Data!$H:$BB,5,FALSE))</f>
        <v>2614.6999999999998</v>
      </c>
      <c r="I67" s="159">
        <f>IF(C67="Not Offered","",IF('Lowest TCO'!$B$3="Zone 1 (Perth Metro)",0,VLOOKUP($C67,Data!$H:$BG,43+(MATCH('Lowest TCO'!$B$3,Locations,0)),FALSE)))</f>
        <v>440</v>
      </c>
      <c r="J67" s="28">
        <f>IF(C67="Not Offered","",VLOOKUP($C67,Data!$H:$AL,4+2*(MATCH('Lowest TCO'!$B$3,Locations,0)),FALSE))</f>
        <v>9.9000000000000008E-3</v>
      </c>
      <c r="K67" s="28">
        <f>IF(C67="Not Offered","",VLOOKUP($C67,Data!$H:$AL,5+2*(MATCH('Lowest TCO'!$B$3,Locations,0)),FALSE))</f>
        <v>0</v>
      </c>
      <c r="L67" s="160">
        <f>IF(H67="","",ROUNDUP(('Lowest TCO'!$D$3*5)/(VLOOKUP(tco_data!$C67,Data!$H:$J,3,FALSE)),0)*tco_data!$H67)</f>
        <v>2614.6999999999998</v>
      </c>
      <c r="M67" s="210">
        <f>IF(OR(H67="",J67="N/A"),"",(5*J67*('Lowest TCO'!$D$3*(IF(RIGHT(D67,2)="BW",1,1-'Lowest TCO'!$F$3)))))</f>
        <v>4950</v>
      </c>
      <c r="N67" s="210">
        <f>IF(OR(H67="",K67="N/A"),"",(5*K67*('Lowest TCO'!$D$3*('Lowest TCO'!$F$3))))</f>
        <v>0</v>
      </c>
      <c r="O67" s="210" t="str">
        <f>IF(L67="","",IF(AND('Lowest TCO'!$H$3&lt;&gt;"All",'Lowest TCO'!$H$3&lt;&gt;tco_data!D67),"",IF(J67="N/A","",IF(AND(RIGHT($D67,2)="BW",'Lowest TCO'!$H$3=0),"",SUM(L67:N67)+I67))))</f>
        <v/>
      </c>
    </row>
    <row r="68" spans="1:15" ht="18" customHeight="1" x14ac:dyDescent="0.2">
      <c r="A68" s="209" t="str">
        <f>IF(O68="","",IF(AND(tco_data!D68&lt;&gt;'Lowest TCO'!H$3,'Lowest TCO'!H$3&lt;&gt;"All"),"",IF(ISNA(RANK(tco_data!O68,tco_data!O$2:O$129)),"",RANK(tco_data!O68,tco_data!O$2:O$129,1))))</f>
        <v/>
      </c>
      <c r="B68" s="161" t="str">
        <f t="shared" si="1"/>
        <v>MFD-BW Low Ricoh</v>
      </c>
      <c r="C68" s="39" t="str">
        <f>Lists!L68</f>
        <v>IM 3000</v>
      </c>
      <c r="D68" s="39" t="str">
        <f>Lists!M68</f>
        <v>MFD-BW</v>
      </c>
      <c r="E68" s="40" t="str">
        <f>Lists!N68</f>
        <v>Ricoh</v>
      </c>
      <c r="F68" s="39" t="str">
        <f>Lists!O68</f>
        <v>Low</v>
      </c>
      <c r="G68" s="39">
        <v>1</v>
      </c>
      <c r="H68" s="159">
        <f>IF(C68="Not Offered","",VLOOKUP(C68,Data!$H:$BB,5,FALSE))</f>
        <v>2693.1959999999999</v>
      </c>
      <c r="I68" s="159">
        <f>IF(C68="Not Offered","",IF('Lowest TCO'!$B$3="Zone 1 (Perth Metro)",0,VLOOKUP($C68,Data!$H:$BG,43+(MATCH('Lowest TCO'!$B$3,Locations,0)),FALSE)))</f>
        <v>1019.3700000000001</v>
      </c>
      <c r="J68" s="28">
        <f>IF(C68="Not Offered","",VLOOKUP($C68,Data!$H:$AL,4+2*(MATCH('Lowest TCO'!$B$3,Locations,0)),FALSE))</f>
        <v>1.43E-2</v>
      </c>
      <c r="K68" s="28">
        <f>IF(C68="Not Offered","",VLOOKUP($C68,Data!$H:$AL,5+2*(MATCH('Lowest TCO'!$B$3,Locations,0)),FALSE))</f>
        <v>0</v>
      </c>
      <c r="L68" s="160">
        <f>IF(H68="","",ROUNDUP(('Lowest TCO'!$D$3*5)/(VLOOKUP(tco_data!$C68,Data!$H:$J,3,FALSE)),0)*tco_data!$H68)</f>
        <v>2693.1959999999999</v>
      </c>
      <c r="M68" s="210">
        <f>IF(OR(H68="",J68="N/A"),"",(5*J68*('Lowest TCO'!$D$3*(IF(RIGHT(D68,2)="BW",1,1-'Lowest TCO'!$F$3)))))</f>
        <v>7150.0000000000009</v>
      </c>
      <c r="N68" s="210">
        <f>IF(OR(H68="",K68="N/A"),"",(5*K68*('Lowest TCO'!$D$3*('Lowest TCO'!$F$3))))</f>
        <v>0</v>
      </c>
      <c r="O68" s="210" t="str">
        <f>IF(L68="","",IF(AND('Lowest TCO'!$H$3&lt;&gt;"All",'Lowest TCO'!$H$3&lt;&gt;tco_data!D68),"",IF(J68="N/A","",IF(AND(RIGHT($D68,2)="BW",'Lowest TCO'!$H$3=0),"",SUM(L68:N68)+I68))))</f>
        <v/>
      </c>
    </row>
    <row r="69" spans="1:15" ht="18" customHeight="1" x14ac:dyDescent="0.2">
      <c r="A69" s="209" t="str">
        <f>IF(O69="","",IF(AND(tco_data!D69&lt;&gt;'Lowest TCO'!H$3,'Lowest TCO'!H$3&lt;&gt;"All"),"",IF(ISNA(RANK(tco_data!O69,tco_data!O$2:O$129)),"",RANK(tco_data!O69,tco_data!O$2:O$129,1))))</f>
        <v/>
      </c>
      <c r="B69" s="161" t="str">
        <f t="shared" si="1"/>
        <v>MFD-BW Low Ricoh</v>
      </c>
      <c r="C69" s="39" t="str">
        <f>Lists!L69</f>
        <v>MP 305+SPF</v>
      </c>
      <c r="D69" s="39" t="str">
        <f>Lists!M69</f>
        <v>MFD-BW</v>
      </c>
      <c r="E69" s="40" t="str">
        <f>Lists!N69</f>
        <v>Ricoh</v>
      </c>
      <c r="F69" s="39" t="str">
        <f>Lists!O69</f>
        <v>Low</v>
      </c>
      <c r="G69" s="39">
        <v>2</v>
      </c>
      <c r="H69" s="159">
        <f>IF(C69="Not Offered","",VLOOKUP(C69,Data!$H:$BB,5,FALSE))</f>
        <v>1181.4000000000001</v>
      </c>
      <c r="I69" s="159">
        <f>IF(C69="Not Offered","",IF('Lowest TCO'!$B$3="Zone 1 (Perth Metro)",0,VLOOKUP($C69,Data!$H:$BG,43+(MATCH('Lowest TCO'!$B$3,Locations,0)),FALSE)))</f>
        <v>558.14</v>
      </c>
      <c r="J69" s="28">
        <f>IF(C69="Not Offered","",VLOOKUP($C69,Data!$H:$AL,4+2*(MATCH('Lowest TCO'!$B$3,Locations,0)),FALSE))</f>
        <v>2.2000000000000002E-2</v>
      </c>
      <c r="K69" s="28">
        <f>IF(C69="Not Offered","",VLOOKUP($C69,Data!$H:$AL,5+2*(MATCH('Lowest TCO'!$B$3,Locations,0)),FALSE))</f>
        <v>0</v>
      </c>
      <c r="L69" s="160">
        <f>IF(H69="","",ROUNDUP(('Lowest TCO'!$D$3*5)/(VLOOKUP(tco_data!$C69,Data!$H:$J,3,FALSE)),0)*tco_data!$H69)</f>
        <v>2362.8000000000002</v>
      </c>
      <c r="M69" s="210">
        <f>IF(OR(H69="",J69="N/A"),"",(5*J69*('Lowest TCO'!$D$3*(IF(RIGHT(D69,2)="BW",1,1-'Lowest TCO'!$F$3)))))</f>
        <v>11000.000000000002</v>
      </c>
      <c r="N69" s="210">
        <f>IF(OR(H69="",K69="N/A"),"",(5*K69*('Lowest TCO'!$D$3*('Lowest TCO'!$F$3))))</f>
        <v>0</v>
      </c>
      <c r="O69" s="210" t="str">
        <f>IF(L69="","",IF(AND('Lowest TCO'!$H$3&lt;&gt;"All",'Lowest TCO'!$H$3&lt;&gt;tco_data!D69),"",IF(J69="N/A","",IF(AND(RIGHT($D69,2)="BW",'Lowest TCO'!$H$3=0),"",SUM(L69:N69)+I69))))</f>
        <v/>
      </c>
    </row>
    <row r="70" spans="1:15" ht="18" customHeight="1" x14ac:dyDescent="0.2">
      <c r="A70" s="209" t="e">
        <f>IF(O70="","",IF(AND(tco_data!D70&lt;&gt;'Lowest TCO'!H$3,'Lowest TCO'!H$3&lt;&gt;"All"),"",IF(ISNA(RANK(tco_data!O70,tco_data!O$2:O$129)),"",RANK(tco_data!O70,tco_data!O$2:O$129,1))))</f>
        <v>#N/A</v>
      </c>
      <c r="B70" s="161" t="str">
        <f t="shared" si="1"/>
        <v>MFD-BW Medium Fuji Business Innovation</v>
      </c>
      <c r="C70" s="39" t="e">
        <f>Lists!L70</f>
        <v>#N/A</v>
      </c>
      <c r="D70" s="39" t="str">
        <f>Lists!M70</f>
        <v>MFD-BW</v>
      </c>
      <c r="E70" s="40" t="str">
        <f>Lists!N70</f>
        <v>Fuji Business Innovation</v>
      </c>
      <c r="F70" s="39" t="str">
        <f>Lists!O70</f>
        <v>Medium</v>
      </c>
      <c r="G70" s="39">
        <v>1</v>
      </c>
      <c r="H70" s="159" t="e">
        <f>IF(C70="Not Offered","",VLOOKUP(C70,Data!$H:$BB,5,FALSE))</f>
        <v>#N/A</v>
      </c>
      <c r="I70" s="159" t="e">
        <f>IF(C70="Not Offered","",IF('Lowest TCO'!$B$3="Zone 1 (Perth Metro)",0,VLOOKUP($C70,Data!$H:$BG,43+(MATCH('Lowest TCO'!$B$3,Locations,0)),FALSE)))</f>
        <v>#N/A</v>
      </c>
      <c r="J70" s="28" t="e">
        <f>IF(C70="Not Offered","",VLOOKUP($C70,Data!$H:$AL,4+2*(MATCH('Lowest TCO'!$B$3,Locations,0)),FALSE))</f>
        <v>#N/A</v>
      </c>
      <c r="K70" s="28" t="e">
        <f>IF(C70="Not Offered","",VLOOKUP($C70,Data!$H:$AL,5+2*(MATCH('Lowest TCO'!$B$3,Locations,0)),FALSE))</f>
        <v>#N/A</v>
      </c>
      <c r="L70" s="160" t="e">
        <f>IF(H70="","",ROUNDUP(('Lowest TCO'!$D$3*5)/(VLOOKUP(tco_data!$C70,Data!$H:$J,3,FALSE)),0)*tco_data!$H70)</f>
        <v>#N/A</v>
      </c>
      <c r="M70" s="210" t="e">
        <f>IF(OR(H70="",J70="N/A"),"",(5*J70*('Lowest TCO'!$D$3*(IF(RIGHT(D70,2)="BW",1,1-'Lowest TCO'!$F$3)))))</f>
        <v>#N/A</v>
      </c>
      <c r="N70" s="210" t="e">
        <f>IF(OR(H70="",K70="N/A"),"",(5*K70*('Lowest TCO'!$D$3*('Lowest TCO'!$F$3))))</f>
        <v>#N/A</v>
      </c>
      <c r="O70" s="210" t="e">
        <f>IF(L70="","",IF(AND('Lowest TCO'!$H$3&lt;&gt;"All",'Lowest TCO'!$H$3&lt;&gt;tco_data!D70),"",IF(J70="N/A","",IF(AND(RIGHT($D70,2)="BW",'Lowest TCO'!$H$3=0),"",SUM(L70:N70)+I70))))</f>
        <v>#N/A</v>
      </c>
    </row>
    <row r="71" spans="1:15" ht="18" customHeight="1" x14ac:dyDescent="0.2">
      <c r="A71" s="209" t="e">
        <f>IF(O71="","",IF(AND(tco_data!D71&lt;&gt;'Lowest TCO'!H$3,'Lowest TCO'!H$3&lt;&gt;"All"),"",IF(ISNA(RANK(tco_data!O71,tco_data!O$2:O$129)),"",RANK(tco_data!O71,tco_data!O$2:O$129,1))))</f>
        <v>#N/A</v>
      </c>
      <c r="B71" s="161" t="str">
        <f t="shared" si="1"/>
        <v>MFD-BW Medium Fuji Business Innovation</v>
      </c>
      <c r="C71" s="39" t="e">
        <f>Lists!L71</f>
        <v>#N/A</v>
      </c>
      <c r="D71" s="39" t="str">
        <f>Lists!M71</f>
        <v>MFD-BW</v>
      </c>
      <c r="E71" s="40" t="str">
        <f>Lists!N71</f>
        <v>Fuji Business Innovation</v>
      </c>
      <c r="F71" s="39" t="str">
        <f>Lists!O71</f>
        <v>Medium</v>
      </c>
      <c r="G71" s="39">
        <v>2</v>
      </c>
      <c r="H71" s="159" t="e">
        <f>IF(C71="Not Offered","",VLOOKUP(C71,Data!$H:$BB,5,FALSE))</f>
        <v>#N/A</v>
      </c>
      <c r="I71" s="159" t="e">
        <f>IF(C71="Not Offered","",IF('Lowest TCO'!$B$3="Zone 1 (Perth Metro)",0,VLOOKUP($C71,Data!$H:$BG,43+(MATCH('Lowest TCO'!$B$3,Locations,0)),FALSE)))</f>
        <v>#N/A</v>
      </c>
      <c r="J71" s="28" t="e">
        <f>IF(C71="Not Offered","",VLOOKUP($C71,Data!$H:$AL,4+2*(MATCH('Lowest TCO'!$B$3,Locations,0)),FALSE))</f>
        <v>#N/A</v>
      </c>
      <c r="K71" s="28" t="e">
        <f>IF(C71="Not Offered","",VLOOKUP($C71,Data!$H:$AL,5+2*(MATCH('Lowest TCO'!$B$3,Locations,0)),FALSE))</f>
        <v>#N/A</v>
      </c>
      <c r="L71" s="160" t="e">
        <f>IF(H71="","",ROUNDUP(('Lowest TCO'!$D$3*5)/(VLOOKUP(tco_data!$C71,Data!$H:$J,3,FALSE)),0)*tco_data!$H71)</f>
        <v>#N/A</v>
      </c>
      <c r="M71" s="210" t="e">
        <f>IF(OR(H71="",J71="N/A"),"",(5*J71*('Lowest TCO'!$D$3*(IF(RIGHT(D71,2)="BW",1,1-'Lowest TCO'!$F$3)))))</f>
        <v>#N/A</v>
      </c>
      <c r="N71" s="210" t="e">
        <f>IF(OR(H71="",K71="N/A"),"",(5*K71*('Lowest TCO'!$D$3*('Lowest TCO'!$F$3))))</f>
        <v>#N/A</v>
      </c>
      <c r="O71" s="210" t="e">
        <f>IF(L71="","",IF(AND('Lowest TCO'!$H$3&lt;&gt;"All",'Lowest TCO'!$H$3&lt;&gt;tco_data!D71),"",IF(J71="N/A","",IF(AND(RIGHT($D71,2)="BW",'Lowest TCO'!$H$3=0),"",SUM(L71:N71)+I71))))</f>
        <v>#N/A</v>
      </c>
    </row>
    <row r="72" spans="1:15" ht="18" customHeight="1" x14ac:dyDescent="0.2">
      <c r="A72" s="209" t="e">
        <f>IF(O72="","",IF(AND(tco_data!D72&lt;&gt;'Lowest TCO'!H$3,'Lowest TCO'!H$3&lt;&gt;"All"),"",IF(ISNA(RANK(tco_data!O72,tco_data!O$2:O$129)),"",RANK(tco_data!O72,tco_data!O$2:O$129,1))))</f>
        <v>#N/A</v>
      </c>
      <c r="B72" s="161" t="str">
        <f t="shared" si="1"/>
        <v>MFD-BW Medium Fuji Business Innovation</v>
      </c>
      <c r="C72" s="39" t="e">
        <f>Lists!L72</f>
        <v>#N/A</v>
      </c>
      <c r="D72" s="39" t="str">
        <f>Lists!M72</f>
        <v>MFD-BW</v>
      </c>
      <c r="E72" s="40" t="str">
        <f>Lists!N72</f>
        <v>Fuji Business Innovation</v>
      </c>
      <c r="F72" s="39" t="str">
        <f>Lists!O72</f>
        <v>Medium</v>
      </c>
      <c r="G72" s="39">
        <v>3</v>
      </c>
      <c r="H72" s="159" t="e">
        <f>IF(C72="Not Offered","",VLOOKUP(C72,Data!$H:$BB,5,FALSE))</f>
        <v>#N/A</v>
      </c>
      <c r="I72" s="159" t="e">
        <f>IF(C72="Not Offered","",IF('Lowest TCO'!$B$3="Zone 1 (Perth Metro)",0,VLOOKUP($C72,Data!$H:$BG,43+(MATCH('Lowest TCO'!$B$3,Locations,0)),FALSE)))</f>
        <v>#N/A</v>
      </c>
      <c r="J72" s="28" t="e">
        <f>IF(C72="Not Offered","",VLOOKUP($C72,Data!$H:$AL,4+2*(MATCH('Lowest TCO'!$B$3,Locations,0)),FALSE))</f>
        <v>#N/A</v>
      </c>
      <c r="K72" s="28" t="e">
        <f>IF(C72="Not Offered","",VLOOKUP($C72,Data!$H:$AL,5+2*(MATCH('Lowest TCO'!$B$3,Locations,0)),FALSE))</f>
        <v>#N/A</v>
      </c>
      <c r="L72" s="160" t="e">
        <f>IF(H72="","",ROUNDUP(('Lowest TCO'!$D$3*5)/(VLOOKUP(tco_data!$C72,Data!$H:$J,3,FALSE)),0)*tco_data!$H72)</f>
        <v>#N/A</v>
      </c>
      <c r="M72" s="210" t="e">
        <f>IF(OR(H72="",J72="N/A"),"",(5*J72*('Lowest TCO'!$D$3*(IF(RIGHT(D72,2)="BW",1,1-'Lowest TCO'!$F$3)))))</f>
        <v>#N/A</v>
      </c>
      <c r="N72" s="210" t="e">
        <f>IF(OR(H72="",K72="N/A"),"",(5*K72*('Lowest TCO'!$D$3*('Lowest TCO'!$F$3))))</f>
        <v>#N/A</v>
      </c>
      <c r="O72" s="210" t="e">
        <f>IF(L72="","",IF(AND('Lowest TCO'!$H$3&lt;&gt;"All",'Lowest TCO'!$H$3&lt;&gt;tco_data!D72),"",IF(J72="N/A","",IF(AND(RIGHT($D72,2)="BW",'Lowest TCO'!$H$3=0),"",SUM(L72:N72)+I72))))</f>
        <v>#N/A</v>
      </c>
    </row>
    <row r="73" spans="1:15" ht="18" customHeight="1" x14ac:dyDescent="0.2">
      <c r="A73" s="209" t="str">
        <f>IF(O73="","",IF(AND(tco_data!D73&lt;&gt;'Lowest TCO'!H$3,'Lowest TCO'!H$3&lt;&gt;"All"),"",IF(ISNA(RANK(tco_data!O73,tco_data!O$2:O$129)),"",RANK(tco_data!O73,tco_data!O$2:O$129,1))))</f>
        <v/>
      </c>
      <c r="B73" s="161" t="str">
        <f t="shared" si="1"/>
        <v>MFD-BW Medium Konica Minolta</v>
      </c>
      <c r="C73" s="39" t="str">
        <f>Lists!L73</f>
        <v>bizhub 4051i</v>
      </c>
      <c r="D73" s="39" t="str">
        <f>Lists!M73</f>
        <v>MFD-BW</v>
      </c>
      <c r="E73" s="40" t="str">
        <f>Lists!N73</f>
        <v>Konica Minolta</v>
      </c>
      <c r="F73" s="39" t="str">
        <f>Lists!O73</f>
        <v>Medium</v>
      </c>
      <c r="G73" s="39">
        <v>1</v>
      </c>
      <c r="H73" s="159">
        <f>IF(C73="Not Offered","",VLOOKUP(C73,Data!$H:$BB,5,FALSE))</f>
        <v>1588.95</v>
      </c>
      <c r="I73" s="159">
        <f>IF(C73="Not Offered","",IF('Lowest TCO'!$B$3="Zone 1 (Perth Metro)",0,VLOOKUP($C73,Data!$H:$BG,43+(MATCH('Lowest TCO'!$B$3,Locations,0)),FALSE)))</f>
        <v>935</v>
      </c>
      <c r="J73" s="28">
        <f>IF(C73="Not Offered","",VLOOKUP($C73,Data!$H:$AL,4+2*(MATCH('Lowest TCO'!$B$3,Locations,0)),FALSE))</f>
        <v>2.4199999999999999E-2</v>
      </c>
      <c r="K73" s="28">
        <f>IF(C73="Not Offered","",VLOOKUP($C73,Data!$H:$AL,5+2*(MATCH('Lowest TCO'!$B$3,Locations,0)),FALSE))</f>
        <v>0</v>
      </c>
      <c r="L73" s="160">
        <f>IF(H73="","",ROUNDUP(('Lowest TCO'!$D$3*5)/(VLOOKUP(tco_data!$C73,Data!$H:$J,3,FALSE)),0)*tco_data!$H73)</f>
        <v>1588.95</v>
      </c>
      <c r="M73" s="210">
        <f>IF(OR(H73="",J73="N/A"),"",(5*J73*('Lowest TCO'!$D$3*(IF(RIGHT(D73,2)="BW",1,1-'Lowest TCO'!$F$3)))))</f>
        <v>12100</v>
      </c>
      <c r="N73" s="210">
        <f>IF(OR(H73="",K73="N/A"),"",(5*K73*('Lowest TCO'!$D$3*('Lowest TCO'!$F$3))))</f>
        <v>0</v>
      </c>
      <c r="O73" s="210" t="str">
        <f>IF(L73="","",IF(AND('Lowest TCO'!$H$3&lt;&gt;"All",'Lowest TCO'!$H$3&lt;&gt;tco_data!D73),"",IF(J73="N/A","",IF(AND(RIGHT($D73,2)="BW",'Lowest TCO'!$H$3=0),"",SUM(L73:N73)+I73))))</f>
        <v/>
      </c>
    </row>
    <row r="74" spans="1:15" ht="18" customHeight="1" x14ac:dyDescent="0.2">
      <c r="A74" s="209" t="str">
        <f>IF(O74="","",IF(AND(tco_data!D74&lt;&gt;'Lowest TCO'!H$3,'Lowest TCO'!H$3&lt;&gt;"All"),"",IF(ISNA(RANK(tco_data!O74,tco_data!O$2:O$129)),"",RANK(tco_data!O74,tco_data!O$2:O$129,1))))</f>
        <v/>
      </c>
      <c r="B74" s="161" t="str">
        <f t="shared" si="1"/>
        <v>MFD-BW Medium Konica Minolta</v>
      </c>
      <c r="C74" s="39" t="str">
        <f>Lists!L74</f>
        <v>bizhub 450i</v>
      </c>
      <c r="D74" s="39" t="str">
        <f>Lists!M74</f>
        <v>MFD-BW</v>
      </c>
      <c r="E74" s="40" t="str">
        <f>Lists!N74</f>
        <v>Konica Minolta</v>
      </c>
      <c r="F74" s="39" t="str">
        <f>Lists!O74</f>
        <v>Medium</v>
      </c>
      <c r="G74" s="39">
        <v>2</v>
      </c>
      <c r="H74" s="159">
        <f>IF(C74="Not Offered","",VLOOKUP(C74,Data!$H:$BB,5,FALSE))</f>
        <v>3722.3160000000003</v>
      </c>
      <c r="I74" s="159">
        <f>IF(C74="Not Offered","",IF('Lowest TCO'!$B$3="Zone 1 (Perth Metro)",0,VLOOKUP($C74,Data!$H:$BG,43+(MATCH('Lowest TCO'!$B$3,Locations,0)),FALSE)))</f>
        <v>1155</v>
      </c>
      <c r="J74" s="28">
        <f>IF(C74="Not Offered","",VLOOKUP($C74,Data!$H:$AL,4+2*(MATCH('Lowest TCO'!$B$3,Locations,0)),FALSE))</f>
        <v>1.21E-2</v>
      </c>
      <c r="K74" s="28">
        <f>IF(C74="Not Offered","",VLOOKUP($C74,Data!$H:$AL,5+2*(MATCH('Lowest TCO'!$B$3,Locations,0)),FALSE))</f>
        <v>0</v>
      </c>
      <c r="L74" s="160">
        <f>IF(H74="","",ROUNDUP(('Lowest TCO'!$D$3*5)/(VLOOKUP(tco_data!$C74,Data!$H:$J,3,FALSE)),0)*tco_data!$H74)</f>
        <v>3722.3160000000003</v>
      </c>
      <c r="M74" s="210">
        <f>IF(OR(H74="",J74="N/A"),"",(5*J74*('Lowest TCO'!$D$3*(IF(RIGHT(D74,2)="BW",1,1-'Lowest TCO'!$F$3)))))</f>
        <v>6050</v>
      </c>
      <c r="N74" s="210">
        <f>IF(OR(H74="",K74="N/A"),"",(5*K74*('Lowest TCO'!$D$3*('Lowest TCO'!$F$3))))</f>
        <v>0</v>
      </c>
      <c r="O74" s="210" t="str">
        <f>IF(L74="","",IF(AND('Lowest TCO'!$H$3&lt;&gt;"All",'Lowest TCO'!$H$3&lt;&gt;tco_data!D74),"",IF(J74="N/A","",IF(AND(RIGHT($D74,2)="BW",'Lowest TCO'!$H$3=0),"",SUM(L74:N74)+I74))))</f>
        <v/>
      </c>
    </row>
    <row r="75" spans="1:15" ht="18" customHeight="1" x14ac:dyDescent="0.2">
      <c r="A75" s="209" t="str">
        <f>IF(O75="","",IF(AND(tco_data!D75&lt;&gt;'Lowest TCO'!H$3,'Lowest TCO'!H$3&lt;&gt;"All"),"",IF(ISNA(RANK(tco_data!O75,tco_data!O$2:O$129)),"",RANK(tco_data!O75,tco_data!O$2:O$129,1))))</f>
        <v/>
      </c>
      <c r="B75" s="161" t="str">
        <f t="shared" si="1"/>
        <v>MFD-BW Medium Konica Minolta</v>
      </c>
      <c r="C75" s="39" t="str">
        <f>Lists!L75</f>
        <v>bizhub 550i</v>
      </c>
      <c r="D75" s="39" t="str">
        <f>Lists!M75</f>
        <v>MFD-BW</v>
      </c>
      <c r="E75" s="40" t="str">
        <f>Lists!N75</f>
        <v>Konica Minolta</v>
      </c>
      <c r="F75" s="39" t="str">
        <f>Lists!O75</f>
        <v>Medium</v>
      </c>
      <c r="G75" s="39">
        <v>3</v>
      </c>
      <c r="H75" s="159">
        <f>IF(C75="Not Offered","",VLOOKUP(C75,Data!$H:$BB,5,FALSE))</f>
        <v>4546.1625000000004</v>
      </c>
      <c r="I75" s="159">
        <f>IF(C75="Not Offered","",IF('Lowest TCO'!$B$3="Zone 1 (Perth Metro)",0,VLOOKUP($C75,Data!$H:$BG,43+(MATCH('Lowest TCO'!$B$3,Locations,0)),FALSE)))</f>
        <v>1243</v>
      </c>
      <c r="J75" s="28">
        <f>IF(C75="Not Offered","",VLOOKUP($C75,Data!$H:$AL,4+2*(MATCH('Lowest TCO'!$B$3,Locations,0)),FALSE))</f>
        <v>1.21E-2</v>
      </c>
      <c r="K75" s="28">
        <f>IF(C75="Not Offered","",VLOOKUP($C75,Data!$H:$AL,5+2*(MATCH('Lowest TCO'!$B$3,Locations,0)),FALSE))</f>
        <v>0</v>
      </c>
      <c r="L75" s="160">
        <f>IF(H75="","",ROUNDUP(('Lowest TCO'!$D$3*5)/(VLOOKUP(tco_data!$C75,Data!$H:$J,3,FALSE)),0)*tco_data!$H75)</f>
        <v>4546.1625000000004</v>
      </c>
      <c r="M75" s="210">
        <f>IF(OR(H75="",J75="N/A"),"",(5*J75*('Lowest TCO'!$D$3*(IF(RIGHT(D75,2)="BW",1,1-'Lowest TCO'!$F$3)))))</f>
        <v>6050</v>
      </c>
      <c r="N75" s="210">
        <f>IF(OR(H75="",K75="N/A"),"",(5*K75*('Lowest TCO'!$D$3*('Lowest TCO'!$F$3))))</f>
        <v>0</v>
      </c>
      <c r="O75" s="210" t="str">
        <f>IF(L75="","",IF(AND('Lowest TCO'!$H$3&lt;&gt;"All",'Lowest TCO'!$H$3&lt;&gt;tco_data!D75),"",IF(J75="N/A","",IF(AND(RIGHT($D75,2)="BW",'Lowest TCO'!$H$3=0),"",SUM(L75:N75)+I75))))</f>
        <v/>
      </c>
    </row>
    <row r="76" spans="1:15" ht="18" customHeight="1" x14ac:dyDescent="0.2">
      <c r="A76" s="209" t="str">
        <f>IF(O76="","",IF(AND(tco_data!D76&lt;&gt;'Lowest TCO'!H$3,'Lowest TCO'!H$3&lt;&gt;"All"),"",IF(ISNA(RANK(tco_data!O76,tco_data!O$2:O$129)),"",RANK(tco_data!O76,tco_data!O$2:O$129,1))))</f>
        <v/>
      </c>
      <c r="B76" s="161" t="str">
        <f t="shared" si="1"/>
        <v>MFD-BW Medium Kyocera</v>
      </c>
      <c r="C76" s="39" t="str">
        <f>Lists!L76</f>
        <v>MZ4000i</v>
      </c>
      <c r="D76" s="39" t="str">
        <f>Lists!M76</f>
        <v>MFD-BW</v>
      </c>
      <c r="E76" s="40" t="str">
        <f>Lists!N76</f>
        <v>Kyocera</v>
      </c>
      <c r="F76" s="39" t="str">
        <f>Lists!O76</f>
        <v>Medium</v>
      </c>
      <c r="G76" s="39">
        <v>1</v>
      </c>
      <c r="H76" s="159">
        <f>IF(C76="Not Offered","",VLOOKUP(C76,Data!$H:$BB,5,FALSE))</f>
        <v>3173.5</v>
      </c>
      <c r="I76" s="159">
        <f>IF(C76="Not Offered","",IF('Lowest TCO'!$B$3="Zone 1 (Perth Metro)",0,VLOOKUP($C76,Data!$H:$BG,43+(MATCH('Lowest TCO'!$B$3,Locations,0)),FALSE)))</f>
        <v>440</v>
      </c>
      <c r="J76" s="28">
        <f>IF(C76="Not Offered","",VLOOKUP($C76,Data!$H:$AL,4+2*(MATCH('Lowest TCO'!$B$3,Locations,0)),FALSE))</f>
        <v>9.9000000000000008E-3</v>
      </c>
      <c r="K76" s="28">
        <f>IF(C76="Not Offered","",VLOOKUP($C76,Data!$H:$AL,5+2*(MATCH('Lowest TCO'!$B$3,Locations,0)),FALSE))</f>
        <v>0</v>
      </c>
      <c r="L76" s="160">
        <f>IF(H76="","",ROUNDUP(('Lowest TCO'!$D$3*5)/(VLOOKUP(tco_data!$C76,Data!$H:$J,3,FALSE)),0)*tco_data!$H76)</f>
        <v>3173.5</v>
      </c>
      <c r="M76" s="210">
        <f>IF(OR(H76="",J76="N/A"),"",(5*J76*('Lowest TCO'!$D$3*(IF(RIGHT(D76,2)="BW",1,1-'Lowest TCO'!$F$3)))))</f>
        <v>4950</v>
      </c>
      <c r="N76" s="210">
        <f>IF(OR(H76="",K76="N/A"),"",(5*K76*('Lowest TCO'!$D$3*('Lowest TCO'!$F$3))))</f>
        <v>0</v>
      </c>
      <c r="O76" s="210" t="str">
        <f>IF(L76="","",IF(AND('Lowest TCO'!$H$3&lt;&gt;"All",'Lowest TCO'!$H$3&lt;&gt;tco_data!D76),"",IF(J76="N/A","",IF(AND(RIGHT($D76,2)="BW",'Lowest TCO'!$H$3=0),"",SUM(L76:N76)+I76))))</f>
        <v/>
      </c>
    </row>
    <row r="77" spans="1:15" ht="18" customHeight="1" x14ac:dyDescent="0.2">
      <c r="A77" s="209" t="str">
        <f>IF(O77="","",IF(AND(tco_data!D77&lt;&gt;'Lowest TCO'!H$3,'Lowest TCO'!H$3&lt;&gt;"All"),"",IF(ISNA(RANK(tco_data!O77,tco_data!O$2:O$129)),"",RANK(tco_data!O77,tco_data!O$2:O$129,1))))</f>
        <v/>
      </c>
      <c r="B77" s="161" t="str">
        <f t="shared" si="1"/>
        <v>MFD-BW Medium Kyocera</v>
      </c>
      <c r="C77" s="39" t="str">
        <f>Lists!L77</f>
        <v>TASKalfa 5004i</v>
      </c>
      <c r="D77" s="39" t="str">
        <f>Lists!M77</f>
        <v>MFD-BW</v>
      </c>
      <c r="E77" s="40" t="str">
        <f>Lists!N77</f>
        <v>Kyocera</v>
      </c>
      <c r="F77" s="39" t="str">
        <f>Lists!O77</f>
        <v>Medium</v>
      </c>
      <c r="G77" s="39">
        <v>2</v>
      </c>
      <c r="H77" s="159">
        <f>IF(C77="Not Offered","",VLOOKUP(C77,Data!$H:$BB,5,FALSE))</f>
        <v>4004</v>
      </c>
      <c r="I77" s="159">
        <f>IF(C77="Not Offered","",IF('Lowest TCO'!$B$3="Zone 1 (Perth Metro)",0,VLOOKUP($C77,Data!$H:$BG,43+(MATCH('Lowest TCO'!$B$3,Locations,0)),FALSE)))</f>
        <v>660</v>
      </c>
      <c r="J77" s="28">
        <f>IF(C77="Not Offered","",VLOOKUP($C77,Data!$H:$AL,4+2*(MATCH('Lowest TCO'!$B$3,Locations,0)),FALSE))</f>
        <v>9.9000000000000008E-3</v>
      </c>
      <c r="K77" s="28">
        <f>IF(C77="Not Offered","",VLOOKUP($C77,Data!$H:$AL,5+2*(MATCH('Lowest TCO'!$B$3,Locations,0)),FALSE))</f>
        <v>0</v>
      </c>
      <c r="L77" s="160">
        <f>IF(H77="","",ROUNDUP(('Lowest TCO'!$D$3*5)/(VLOOKUP(tco_data!$C77,Data!$H:$J,3,FALSE)),0)*tco_data!$H77)</f>
        <v>4004</v>
      </c>
      <c r="M77" s="210">
        <f>IF(OR(H77="",J77="N/A"),"",(5*J77*('Lowest TCO'!$D$3*(IF(RIGHT(D77,2)="BW",1,1-'Lowest TCO'!$F$3)))))</f>
        <v>4950</v>
      </c>
      <c r="N77" s="210">
        <f>IF(OR(H77="",K77="N/A"),"",(5*K77*('Lowest TCO'!$D$3*('Lowest TCO'!$F$3))))</f>
        <v>0</v>
      </c>
      <c r="O77" s="210" t="str">
        <f>IF(L77="","",IF(AND('Lowest TCO'!$H$3&lt;&gt;"All",'Lowest TCO'!$H$3&lt;&gt;tco_data!D77),"",IF(J77="N/A","",IF(AND(RIGHT($D77,2)="BW",'Lowest TCO'!$H$3=0),"",SUM(L77:N77)+I77))))</f>
        <v/>
      </c>
    </row>
    <row r="78" spans="1:15" ht="18" customHeight="1" x14ac:dyDescent="0.2">
      <c r="A78" s="209" t="str">
        <f>IF(O78="","",IF(AND(tco_data!D78&lt;&gt;'Lowest TCO'!H$3,'Lowest TCO'!H$3&lt;&gt;"All"),"",IF(ISNA(RANK(tco_data!O78,tco_data!O$2:O$129)),"",RANK(tco_data!O78,tco_data!O$2:O$129,1))))</f>
        <v/>
      </c>
      <c r="B78" s="161" t="str">
        <f t="shared" si="1"/>
        <v>MFD-BW Medium Kyocera</v>
      </c>
      <c r="C78" s="39" t="str">
        <f>Lists!L78</f>
        <v>Ecosys M2040dn</v>
      </c>
      <c r="D78" s="39" t="str">
        <f>Lists!M78</f>
        <v>MFD-BW</v>
      </c>
      <c r="E78" s="40" t="str">
        <f>Lists!N78</f>
        <v>Kyocera</v>
      </c>
      <c r="F78" s="39" t="str">
        <f>Lists!O78</f>
        <v>Medium</v>
      </c>
      <c r="G78" s="39">
        <v>3</v>
      </c>
      <c r="H78" s="159">
        <f>IF(C78="Not Offered","",VLOOKUP(C78,Data!$H:$BB,5,FALSE))</f>
        <v>667.7</v>
      </c>
      <c r="I78" s="159">
        <f>IF(C78="Not Offered","",IF('Lowest TCO'!$B$3="Zone 1 (Perth Metro)",0,VLOOKUP($C78,Data!$H:$BG,43+(MATCH('Lowest TCO'!$B$3,Locations,0)),FALSE)))</f>
        <v>110</v>
      </c>
      <c r="J78" s="28">
        <f>IF(C78="Not Offered","",VLOOKUP($C78,Data!$H:$AL,4+2*(MATCH('Lowest TCO'!$B$3,Locations,0)),FALSE))</f>
        <v>2.1999999999999999E-2</v>
      </c>
      <c r="K78" s="28">
        <f>IF(C78="Not Offered","",VLOOKUP($C78,Data!$H:$AL,5+2*(MATCH('Lowest TCO'!$B$3,Locations,0)),FALSE))</f>
        <v>0</v>
      </c>
      <c r="L78" s="160">
        <f>IF(H78="","",ROUNDUP(('Lowest TCO'!$D$3*5)/(VLOOKUP(tco_data!$C78,Data!$H:$J,3,FALSE)),0)*tco_data!$H78)</f>
        <v>2003.1000000000001</v>
      </c>
      <c r="M78" s="210">
        <f>IF(OR(H78="",J78="N/A"),"",(5*J78*('Lowest TCO'!$D$3*(IF(RIGHT(D78,2)="BW",1,1-'Lowest TCO'!$F$3)))))</f>
        <v>10999.999999999998</v>
      </c>
      <c r="N78" s="210">
        <f>IF(OR(H78="",K78="N/A"),"",(5*K78*('Lowest TCO'!$D$3*('Lowest TCO'!$F$3))))</f>
        <v>0</v>
      </c>
      <c r="O78" s="210" t="str">
        <f>IF(L78="","",IF(AND('Lowest TCO'!$H$3&lt;&gt;"All",'Lowest TCO'!$H$3&lt;&gt;tco_data!D78),"",IF(J78="N/A","",IF(AND(RIGHT($D78,2)="BW",'Lowest TCO'!$H$3=0),"",SUM(L78:N78)+I78))))</f>
        <v/>
      </c>
    </row>
    <row r="79" spans="1:15" ht="18" customHeight="1" x14ac:dyDescent="0.2">
      <c r="A79" s="209" t="str">
        <f>IF(O79="","",IF(AND(tco_data!D79&lt;&gt;'Lowest TCO'!H$3,'Lowest TCO'!H$3&lt;&gt;"All"),"",IF(ISNA(RANK(tco_data!O79,tco_data!O$2:O$129)),"",RANK(tco_data!O79,tco_data!O$2:O$129,1))))</f>
        <v/>
      </c>
      <c r="B79" s="161" t="str">
        <f t="shared" si="1"/>
        <v>MFD-BW Medium Ricoh</v>
      </c>
      <c r="C79" s="39" t="str">
        <f>Lists!L79</f>
        <v>IM 4000</v>
      </c>
      <c r="D79" s="39" t="str">
        <f>Lists!M79</f>
        <v>MFD-BW</v>
      </c>
      <c r="E79" s="40" t="str">
        <f>Lists!N79</f>
        <v>Ricoh</v>
      </c>
      <c r="F79" s="39" t="str">
        <f>Lists!O79</f>
        <v>Medium</v>
      </c>
      <c r="G79" s="39">
        <v>1</v>
      </c>
      <c r="H79" s="159">
        <f>IF(C79="Not Offered","",VLOOKUP(C79,Data!$H:$BB,5,FALSE))</f>
        <v>3409.5600000000004</v>
      </c>
      <c r="I79" s="159">
        <f>IF(C79="Not Offered","",IF('Lowest TCO'!$B$3="Zone 1 (Perth Metro)",0,VLOOKUP($C79,Data!$H:$BG,43+(MATCH('Lowest TCO'!$B$3,Locations,0)),FALSE)))</f>
        <v>1085.7</v>
      </c>
      <c r="J79" s="28">
        <f>IF(C79="Not Offered","",VLOOKUP($C79,Data!$H:$AL,4+2*(MATCH('Lowest TCO'!$B$3,Locations,0)),FALSE))</f>
        <v>1.1000000000000001E-2</v>
      </c>
      <c r="K79" s="28">
        <f>IF(C79="Not Offered","",VLOOKUP($C79,Data!$H:$AL,5+2*(MATCH('Lowest TCO'!$B$3,Locations,0)),FALSE))</f>
        <v>0</v>
      </c>
      <c r="L79" s="160">
        <f>IF(H79="","",ROUNDUP(('Lowest TCO'!$D$3*5)/(VLOOKUP(tco_data!$C79,Data!$H:$J,3,FALSE)),0)*tco_data!$H79)</f>
        <v>3409.5600000000004</v>
      </c>
      <c r="M79" s="210">
        <f>IF(OR(H79="",J79="N/A"),"",(5*J79*('Lowest TCO'!$D$3*(IF(RIGHT(D79,2)="BW",1,1-'Lowest TCO'!$F$3)))))</f>
        <v>5500.0000000000009</v>
      </c>
      <c r="N79" s="210">
        <f>IF(OR(H79="",K79="N/A"),"",(5*K79*('Lowest TCO'!$D$3*('Lowest TCO'!$F$3))))</f>
        <v>0</v>
      </c>
      <c r="O79" s="210" t="str">
        <f>IF(L79="","",IF(AND('Lowest TCO'!$H$3&lt;&gt;"All",'Lowest TCO'!$H$3&lt;&gt;tco_data!D79),"",IF(J79="N/A","",IF(AND(RIGHT($D79,2)="BW",'Lowest TCO'!$H$3=0),"",SUM(L79:N79)+I79))))</f>
        <v/>
      </c>
    </row>
    <row r="80" spans="1:15" ht="18" customHeight="1" x14ac:dyDescent="0.2">
      <c r="A80" s="209" t="str">
        <f>IF(O80="","",IF(AND(tco_data!D80&lt;&gt;'Lowest TCO'!H$3,'Lowest TCO'!H$3&lt;&gt;"All"),"",IF(ISNA(RANK(tco_data!O80,tco_data!O$2:O$129)),"",RANK(tco_data!O80,tco_data!O$2:O$129,1))))</f>
        <v/>
      </c>
      <c r="B80" s="161" t="str">
        <f t="shared" si="1"/>
        <v>MFD-BW Medium Ricoh</v>
      </c>
      <c r="C80" s="39" t="str">
        <f>Lists!L80</f>
        <v>IM 550F</v>
      </c>
      <c r="D80" s="39" t="str">
        <f>Lists!M80</f>
        <v>MFD-BW</v>
      </c>
      <c r="E80" s="40" t="str">
        <f>Lists!N80</f>
        <v>Ricoh</v>
      </c>
      <c r="F80" s="39" t="str">
        <f>Lists!O80</f>
        <v>Medium</v>
      </c>
      <c r="G80" s="39">
        <v>2</v>
      </c>
      <c r="H80" s="159">
        <f>IF(C80="Not Offered","",VLOOKUP(C80,Data!$H:$BB,5,FALSE))</f>
        <v>1736.8560000000002</v>
      </c>
      <c r="I80" s="159">
        <f>IF(C80="Not Offered","",IF('Lowest TCO'!$B$3="Zone 1 (Perth Metro)",0,VLOOKUP($C80,Data!$H:$BG,43+(MATCH('Lowest TCO'!$B$3,Locations,0)),FALSE)))</f>
        <v>613.68560000000002</v>
      </c>
      <c r="J80" s="28">
        <f>IF(C80="Not Offered","",VLOOKUP($C80,Data!$H:$AL,4+2*(MATCH('Lowest TCO'!$B$3,Locations,0)),FALSE))</f>
        <v>2.2000000000000002E-2</v>
      </c>
      <c r="K80" s="28">
        <f>IF(C80="Not Offered","",VLOOKUP($C80,Data!$H:$AL,5+2*(MATCH('Lowest TCO'!$B$3,Locations,0)),FALSE))</f>
        <v>0</v>
      </c>
      <c r="L80" s="160">
        <f>IF(H80="","",ROUNDUP(('Lowest TCO'!$D$3*5)/(VLOOKUP(tco_data!$C80,Data!$H:$J,3,FALSE)),0)*tco_data!$H80)</f>
        <v>1736.8560000000002</v>
      </c>
      <c r="M80" s="210">
        <f>IF(OR(H80="",J80="N/A"),"",(5*J80*('Lowest TCO'!$D$3*(IF(RIGHT(D80,2)="BW",1,1-'Lowest TCO'!$F$3)))))</f>
        <v>11000.000000000002</v>
      </c>
      <c r="N80" s="210">
        <f>IF(OR(H80="",K80="N/A"),"",(5*K80*('Lowest TCO'!$D$3*('Lowest TCO'!$F$3))))</f>
        <v>0</v>
      </c>
      <c r="O80" s="210" t="str">
        <f>IF(L80="","",IF(AND('Lowest TCO'!$H$3&lt;&gt;"All",'Lowest TCO'!$H$3&lt;&gt;tco_data!D80),"",IF(J80="N/A","",IF(AND(RIGHT($D80,2)="BW",'Lowest TCO'!$H$3=0),"",SUM(L80:N80)+I80))))</f>
        <v/>
      </c>
    </row>
    <row r="81" spans="1:15" ht="18" customHeight="1" x14ac:dyDescent="0.2">
      <c r="A81" s="209" t="str">
        <f>IF(O81="","",IF(AND(tco_data!D81&lt;&gt;'Lowest TCO'!H$3,'Lowest TCO'!H$3&lt;&gt;"All"),"",IF(ISNA(RANK(tco_data!O81,tco_data!O$2:O$129)),"",RANK(tco_data!O81,tco_data!O$2:O$129,1))))</f>
        <v/>
      </c>
      <c r="B81" s="161" t="str">
        <f t="shared" si="1"/>
        <v>MFD-BW Medium Ricoh</v>
      </c>
      <c r="C81" s="39" t="str">
        <f>Lists!L81</f>
        <v>IM 430F</v>
      </c>
      <c r="D81" s="39" t="str">
        <f>Lists!M81</f>
        <v>MFD-BW</v>
      </c>
      <c r="E81" s="40" t="str">
        <f>Lists!N81</f>
        <v>Ricoh</v>
      </c>
      <c r="F81" s="39" t="str">
        <f>Lists!O81</f>
        <v>Medium</v>
      </c>
      <c r="G81" s="39">
        <v>3</v>
      </c>
      <c r="H81" s="159">
        <f>IF(C81="Not Offered","",VLOOKUP(C81,Data!$H:$BB,5,FALSE))</f>
        <v>1610.9280000000001</v>
      </c>
      <c r="I81" s="159">
        <f>IF(C81="Not Offered","",IF('Lowest TCO'!$B$3="Zone 1 (Perth Metro)",0,VLOOKUP($C81,Data!$H:$BG,43+(MATCH('Lowest TCO'!$B$3,Locations,0)),FALSE)))</f>
        <v>589.16000000000008</v>
      </c>
      <c r="J81" s="28">
        <f>IF(C81="Not Offered","",VLOOKUP($C81,Data!$H:$AL,4+2*(MATCH('Lowest TCO'!$B$3,Locations,0)),FALSE))</f>
        <v>2.2000000000000002E-2</v>
      </c>
      <c r="K81" s="28">
        <f>IF(C81="Not Offered","",VLOOKUP($C81,Data!$H:$AL,5+2*(MATCH('Lowest TCO'!$B$3,Locations,0)),FALSE))</f>
        <v>0</v>
      </c>
      <c r="L81" s="160">
        <f>IF(H81="","",ROUNDUP(('Lowest TCO'!$D$3*5)/(VLOOKUP(tco_data!$C81,Data!$H:$J,3,FALSE)),0)*tco_data!$H81)</f>
        <v>1610.9280000000001</v>
      </c>
      <c r="M81" s="210">
        <f>IF(OR(H81="",J81="N/A"),"",(5*J81*('Lowest TCO'!$D$3*(IF(RIGHT(D81,2)="BW",1,1-'Lowest TCO'!$F$3)))))</f>
        <v>11000.000000000002</v>
      </c>
      <c r="N81" s="210">
        <f>IF(OR(H81="",K81="N/A"),"",(5*K81*('Lowest TCO'!$D$3*('Lowest TCO'!$F$3))))</f>
        <v>0</v>
      </c>
      <c r="O81" s="210" t="str">
        <f>IF(L81="","",IF(AND('Lowest TCO'!$H$3&lt;&gt;"All",'Lowest TCO'!$H$3&lt;&gt;tco_data!D81),"",IF(J81="N/A","",IF(AND(RIGHT($D81,2)="BW",'Lowest TCO'!$H$3=0),"",SUM(L81:N81)+I81))))</f>
        <v/>
      </c>
    </row>
    <row r="82" spans="1:15" ht="18" customHeight="1" x14ac:dyDescent="0.2">
      <c r="A82" s="209" t="e">
        <f>IF(O82="","",IF(AND(tco_data!D82&lt;&gt;'Lowest TCO'!H$3,'Lowest TCO'!H$3&lt;&gt;"All"),"",IF(ISNA(RANK(tco_data!O82,tco_data!O$2:O$129)),"",RANK(tco_data!O82,tco_data!O$2:O$129,1))))</f>
        <v>#N/A</v>
      </c>
      <c r="B82" s="161" t="str">
        <f t="shared" si="1"/>
        <v>MFD-BW High Fuji Business Innovation</v>
      </c>
      <c r="C82" s="39" t="e">
        <f>Lists!L82</f>
        <v>#N/A</v>
      </c>
      <c r="D82" s="39" t="str">
        <f>Lists!M82</f>
        <v>MFD-BW</v>
      </c>
      <c r="E82" s="40" t="str">
        <f>Lists!N82</f>
        <v>Fuji Business Innovation</v>
      </c>
      <c r="F82" s="39" t="str">
        <f>Lists!O82</f>
        <v>High</v>
      </c>
      <c r="G82" s="39">
        <v>1</v>
      </c>
      <c r="H82" s="159" t="e">
        <f>IF(C82="Not Offered","",VLOOKUP(C82,Data!$H:$BB,5,FALSE))</f>
        <v>#N/A</v>
      </c>
      <c r="I82" s="159" t="e">
        <f>IF(C82="Not Offered","",IF('Lowest TCO'!$B$3="Zone 1 (Perth Metro)",0,VLOOKUP($C82,Data!$H:$BG,43+(MATCH('Lowest TCO'!$B$3,Locations,0)),FALSE)))</f>
        <v>#N/A</v>
      </c>
      <c r="J82" s="28" t="e">
        <f>IF(C82="Not Offered","",VLOOKUP($C82,Data!$H:$AL,4+2*(MATCH('Lowest TCO'!$B$3,Locations,0)),FALSE))</f>
        <v>#N/A</v>
      </c>
      <c r="K82" s="28" t="e">
        <f>IF(C82="Not Offered","",VLOOKUP($C82,Data!$H:$AL,5+2*(MATCH('Lowest TCO'!$B$3,Locations,0)),FALSE))</f>
        <v>#N/A</v>
      </c>
      <c r="L82" s="160" t="e">
        <f>IF(H82="","",ROUNDUP(('Lowest TCO'!$D$3*5)/(VLOOKUP(tco_data!$C82,Data!$H:$J,3,FALSE)),0)*tco_data!$H82)</f>
        <v>#N/A</v>
      </c>
      <c r="M82" s="210" t="e">
        <f>IF(OR(H82="",J82="N/A"),"",(5*J82*('Lowest TCO'!$D$3*(IF(RIGHT(D82,2)="BW",1,1-'Lowest TCO'!$F$3)))))</f>
        <v>#N/A</v>
      </c>
      <c r="N82" s="210" t="e">
        <f>IF(OR(H82="",K82="N/A"),"",(5*K82*('Lowest TCO'!$D$3*('Lowest TCO'!$F$3))))</f>
        <v>#N/A</v>
      </c>
      <c r="O82" s="210" t="e">
        <f>IF(L82="","",IF(AND('Lowest TCO'!$H$3&lt;&gt;"All",'Lowest TCO'!$H$3&lt;&gt;tco_data!D82),"",IF(J82="N/A","",IF(AND(RIGHT($D82,2)="BW",'Lowest TCO'!$H$3=0),"",SUM(L82:N82)+I82))))</f>
        <v>#N/A</v>
      </c>
    </row>
    <row r="83" spans="1:15" ht="18" customHeight="1" x14ac:dyDescent="0.2">
      <c r="A83" s="209" t="e">
        <f>IF(O83="","",IF(AND(tco_data!D83&lt;&gt;'Lowest TCO'!H$3,'Lowest TCO'!H$3&lt;&gt;"All"),"",IF(ISNA(RANK(tco_data!O83,tco_data!O$2:O$129)),"",RANK(tco_data!O83,tco_data!O$2:O$129,1))))</f>
        <v>#N/A</v>
      </c>
      <c r="B83" s="161" t="str">
        <f t="shared" si="1"/>
        <v>MFD-BW High Fuji Business Innovation</v>
      </c>
      <c r="C83" s="39" t="e">
        <f>Lists!L83</f>
        <v>#N/A</v>
      </c>
      <c r="D83" s="39" t="str">
        <f>Lists!M83</f>
        <v>MFD-BW</v>
      </c>
      <c r="E83" s="40" t="str">
        <f>Lists!N83</f>
        <v>Fuji Business Innovation</v>
      </c>
      <c r="F83" s="39" t="str">
        <f>Lists!O83</f>
        <v>High</v>
      </c>
      <c r="G83" s="39">
        <v>2</v>
      </c>
      <c r="H83" s="159" t="e">
        <f>IF(C83="Not Offered","",VLOOKUP(C83,Data!$H:$BB,5,FALSE))</f>
        <v>#N/A</v>
      </c>
      <c r="I83" s="159" t="e">
        <f>IF(C83="Not Offered","",IF('Lowest TCO'!$B$3="Zone 1 (Perth Metro)",0,VLOOKUP($C83,Data!$H:$BG,43+(MATCH('Lowest TCO'!$B$3,Locations,0)),FALSE)))</f>
        <v>#N/A</v>
      </c>
      <c r="J83" s="28" t="e">
        <f>IF(C83="Not Offered","",VLOOKUP($C83,Data!$H:$AL,4+2*(MATCH('Lowest TCO'!$B$3,Locations,0)),FALSE))</f>
        <v>#N/A</v>
      </c>
      <c r="K83" s="28" t="e">
        <f>IF(C83="Not Offered","",VLOOKUP($C83,Data!$H:$AL,5+2*(MATCH('Lowest TCO'!$B$3,Locations,0)),FALSE))</f>
        <v>#N/A</v>
      </c>
      <c r="L83" s="160" t="e">
        <f>IF(H83="","",ROUNDUP(('Lowest TCO'!$D$3*5)/(VLOOKUP(tco_data!$C83,Data!$H:$J,3,FALSE)),0)*tco_data!$H83)</f>
        <v>#N/A</v>
      </c>
      <c r="M83" s="210" t="e">
        <f>IF(OR(H83="",J83="N/A"),"",(5*J83*('Lowest TCO'!$D$3*(IF(RIGHT(D83,2)="BW",1,1-'Lowest TCO'!$F$3)))))</f>
        <v>#N/A</v>
      </c>
      <c r="N83" s="210" t="e">
        <f>IF(OR(H83="",K83="N/A"),"",(5*K83*('Lowest TCO'!$D$3*('Lowest TCO'!$F$3))))</f>
        <v>#N/A</v>
      </c>
      <c r="O83" s="210" t="e">
        <f>IF(L83="","",IF(AND('Lowest TCO'!$H$3&lt;&gt;"All",'Lowest TCO'!$H$3&lt;&gt;tco_data!D83),"",IF(J83="N/A","",IF(AND(RIGHT($D83,2)="BW",'Lowest TCO'!$H$3=0),"",SUM(L83:N83)+I83))))</f>
        <v>#N/A</v>
      </c>
    </row>
    <row r="84" spans="1:15" ht="18" customHeight="1" x14ac:dyDescent="0.2">
      <c r="A84" s="209" t="e">
        <f>IF(O84="","",IF(AND(tco_data!D84&lt;&gt;'Lowest TCO'!H$3,'Lowest TCO'!H$3&lt;&gt;"All"),"",IF(ISNA(RANK(tco_data!O84,tco_data!O$2:O$129)),"",RANK(tco_data!O84,tco_data!O$2:O$129,1))))</f>
        <v>#N/A</v>
      </c>
      <c r="B84" s="161" t="str">
        <f t="shared" si="1"/>
        <v>MFD-BW High Fuji Business Innovation</v>
      </c>
      <c r="C84" s="39" t="e">
        <f>Lists!L84</f>
        <v>#N/A</v>
      </c>
      <c r="D84" s="39" t="str">
        <f>Lists!M84</f>
        <v>MFD-BW</v>
      </c>
      <c r="E84" s="40" t="str">
        <f>Lists!N84</f>
        <v>Fuji Business Innovation</v>
      </c>
      <c r="F84" s="39" t="str">
        <f>Lists!O84</f>
        <v>High</v>
      </c>
      <c r="G84" s="39">
        <v>3</v>
      </c>
      <c r="H84" s="159" t="e">
        <f>IF(C84="Not Offered","",VLOOKUP(C84,Data!$H:$BB,5,FALSE))</f>
        <v>#N/A</v>
      </c>
      <c r="I84" s="159" t="e">
        <f>IF(C84="Not Offered","",IF('Lowest TCO'!$B$3="Zone 1 (Perth Metro)",0,VLOOKUP($C84,Data!$H:$BG,43+(MATCH('Lowest TCO'!$B$3,Locations,0)),FALSE)))</f>
        <v>#N/A</v>
      </c>
      <c r="J84" s="28" t="e">
        <f>IF(C84="Not Offered","",VLOOKUP($C84,Data!$H:$AL,4+2*(MATCH('Lowest TCO'!$B$3,Locations,0)),FALSE))</f>
        <v>#N/A</v>
      </c>
      <c r="K84" s="28" t="e">
        <f>IF(C84="Not Offered","",VLOOKUP($C84,Data!$H:$AL,5+2*(MATCH('Lowest TCO'!$B$3,Locations,0)),FALSE))</f>
        <v>#N/A</v>
      </c>
      <c r="L84" s="160" t="e">
        <f>IF(H84="","",ROUNDUP(('Lowest TCO'!$D$3*5)/(VLOOKUP(tco_data!$C84,Data!$H:$J,3,FALSE)),0)*tco_data!$H84)</f>
        <v>#N/A</v>
      </c>
      <c r="M84" s="210" t="e">
        <f>IF(OR(H84="",J84="N/A"),"",(5*J84*('Lowest TCO'!$D$3*(IF(RIGHT(D84,2)="BW",1,1-'Lowest TCO'!$F$3)))))</f>
        <v>#N/A</v>
      </c>
      <c r="N84" s="210" t="e">
        <f>IF(OR(H84="",K84="N/A"),"",(5*K84*('Lowest TCO'!$D$3*('Lowest TCO'!$F$3))))</f>
        <v>#N/A</v>
      </c>
      <c r="O84" s="210" t="e">
        <f>IF(L84="","",IF(AND('Lowest TCO'!$H$3&lt;&gt;"All",'Lowest TCO'!$H$3&lt;&gt;tco_data!D84),"",IF(J84="N/A","",IF(AND(RIGHT($D84,2)="BW",'Lowest TCO'!$H$3=0),"",SUM(L84:N84)+I84))))</f>
        <v>#N/A</v>
      </c>
    </row>
    <row r="85" spans="1:15" ht="18" customHeight="1" x14ac:dyDescent="0.2">
      <c r="A85" s="209" t="str">
        <f>IF(O85="","",IF(AND(tco_data!D85&lt;&gt;'Lowest TCO'!H$3,'Lowest TCO'!H$3&lt;&gt;"All"),"",IF(ISNA(RANK(tco_data!O85,tco_data!O$2:O$129)),"",RANK(tco_data!O85,tco_data!O$2:O$129,1))))</f>
        <v/>
      </c>
      <c r="B85" s="161" t="str">
        <f t="shared" si="1"/>
        <v>MFD-BW High Konica Minolta</v>
      </c>
      <c r="C85" s="39" t="str">
        <f>Lists!L85</f>
        <v>bizhub 650i</v>
      </c>
      <c r="D85" s="39" t="str">
        <f>Lists!M85</f>
        <v>MFD-BW</v>
      </c>
      <c r="E85" s="40" t="str">
        <f>Lists!N85</f>
        <v>Konica Minolta</v>
      </c>
      <c r="F85" s="39" t="str">
        <f>Lists!O85</f>
        <v>High</v>
      </c>
      <c r="G85" s="39">
        <v>1</v>
      </c>
      <c r="H85" s="159">
        <f>IF(C85="Not Offered","",VLOOKUP(C85,Data!$H:$BB,5,FALSE))</f>
        <v>5840.8625000000002</v>
      </c>
      <c r="I85" s="159">
        <f>IF(C85="Not Offered","",IF('Lowest TCO'!$B$3="Zone 1 (Perth Metro)",0,VLOOKUP($C85,Data!$H:$BG,43+(MATCH('Lowest TCO'!$B$3,Locations,0)),FALSE)))</f>
        <v>1375</v>
      </c>
      <c r="J85" s="28">
        <f>IF(C85="Not Offered","",VLOOKUP($C85,Data!$H:$AL,4+2*(MATCH('Lowest TCO'!$B$3,Locations,0)),FALSE))</f>
        <v>1.0999999999999999E-2</v>
      </c>
      <c r="K85" s="28">
        <f>IF(C85="Not Offered","",VLOOKUP($C85,Data!$H:$AL,5+2*(MATCH('Lowest TCO'!$B$3,Locations,0)),FALSE))</f>
        <v>0</v>
      </c>
      <c r="L85" s="160">
        <f>IF(H85="","",ROUNDUP(('Lowest TCO'!$D$3*5)/(VLOOKUP(tco_data!$C85,Data!$H:$J,3,FALSE)),0)*tco_data!$H85)</f>
        <v>5840.8625000000002</v>
      </c>
      <c r="M85" s="210">
        <f>IF(OR(H85="",J85="N/A"),"",(5*J85*('Lowest TCO'!$D$3*(IF(RIGHT(D85,2)="BW",1,1-'Lowest TCO'!$F$3)))))</f>
        <v>5499.9999999999991</v>
      </c>
      <c r="N85" s="210">
        <f>IF(OR(H85="",K85="N/A"),"",(5*K85*('Lowest TCO'!$D$3*('Lowest TCO'!$F$3))))</f>
        <v>0</v>
      </c>
      <c r="O85" s="210" t="str">
        <f>IF(L85="","",IF(AND('Lowest TCO'!$H$3&lt;&gt;"All",'Lowest TCO'!$H$3&lt;&gt;tco_data!D85),"",IF(J85="N/A","",IF(AND(RIGHT($D85,2)="BW",'Lowest TCO'!$H$3=0),"",SUM(L85:N85)+I85))))</f>
        <v/>
      </c>
    </row>
    <row r="86" spans="1:15" ht="18" customHeight="1" x14ac:dyDescent="0.2">
      <c r="A86" s="209" t="str">
        <f>IF(O86="","",IF(AND(tco_data!D86&lt;&gt;'Lowest TCO'!H$3,'Lowest TCO'!H$3&lt;&gt;"All"),"",IF(ISNA(RANK(tco_data!O86,tco_data!O$2:O$129)),"",RANK(tco_data!O86,tco_data!O$2:O$129,1))))</f>
        <v/>
      </c>
      <c r="B86" s="161" t="str">
        <f t="shared" si="1"/>
        <v>MFD-BW High Konica Minolta</v>
      </c>
      <c r="C86" s="39" t="str">
        <f>Lists!L86</f>
        <v>bizhub 750i</v>
      </c>
      <c r="D86" s="39" t="str">
        <f>Lists!M86</f>
        <v>MFD-BW</v>
      </c>
      <c r="E86" s="40" t="str">
        <f>Lists!N86</f>
        <v>Konica Minolta</v>
      </c>
      <c r="F86" s="39" t="str">
        <f>Lists!O86</f>
        <v>High</v>
      </c>
      <c r="G86" s="39">
        <v>2</v>
      </c>
      <c r="H86" s="159">
        <f>IF(C86="Not Offered","",VLOOKUP(C86,Data!$H:$BB,5,FALSE))</f>
        <v>7297.4000000000005</v>
      </c>
      <c r="I86" s="159">
        <f>IF(C86="Not Offered","",IF('Lowest TCO'!$B$3="Zone 1 (Perth Metro)",0,VLOOKUP($C86,Data!$H:$BG,43+(MATCH('Lowest TCO'!$B$3,Locations,0)),FALSE)))</f>
        <v>1529</v>
      </c>
      <c r="J86" s="28">
        <f>IF(C86="Not Offered","",VLOOKUP($C86,Data!$H:$AL,4+2*(MATCH('Lowest TCO'!$B$3,Locations,0)),FALSE))</f>
        <v>1.0999999999999999E-2</v>
      </c>
      <c r="K86" s="28">
        <f>IF(C86="Not Offered","",VLOOKUP($C86,Data!$H:$AL,5+2*(MATCH('Lowest TCO'!$B$3,Locations,0)),FALSE))</f>
        <v>0</v>
      </c>
      <c r="L86" s="160">
        <f>IF(H86="","",ROUNDUP(('Lowest TCO'!$D$3*5)/(VLOOKUP(tco_data!$C86,Data!$H:$J,3,FALSE)),0)*tco_data!$H86)</f>
        <v>7297.4000000000005</v>
      </c>
      <c r="M86" s="210">
        <f>IF(OR(H86="",J86="N/A"),"",(5*J86*('Lowest TCO'!$D$3*(IF(RIGHT(D86,2)="BW",1,1-'Lowest TCO'!$F$3)))))</f>
        <v>5499.9999999999991</v>
      </c>
      <c r="N86" s="210">
        <f>IF(OR(H86="",K86="N/A"),"",(5*K86*('Lowest TCO'!$D$3*('Lowest TCO'!$F$3))))</f>
        <v>0</v>
      </c>
      <c r="O86" s="210" t="str">
        <f>IF(L86="","",IF(AND('Lowest TCO'!$H$3&lt;&gt;"All",'Lowest TCO'!$H$3&lt;&gt;tco_data!D86),"",IF(J86="N/A","",IF(AND(RIGHT($D86,2)="BW",'Lowest TCO'!$H$3=0),"",SUM(L86:N86)+I86))))</f>
        <v/>
      </c>
    </row>
    <row r="87" spans="1:15" ht="18" customHeight="1" x14ac:dyDescent="0.2">
      <c r="A87" s="209" t="str">
        <f>IF(O87="","",IF(AND(tco_data!D87&lt;&gt;'Lowest TCO'!H$3,'Lowest TCO'!H$3&lt;&gt;"All"),"",IF(ISNA(RANK(tco_data!O87,tco_data!O$2:O$129)),"",RANK(tco_data!O87,tco_data!O$2:O$129,1))))</f>
        <v/>
      </c>
      <c r="B87" s="161" t="str">
        <f t="shared" si="1"/>
        <v>MFD-BW High Konica Minolta</v>
      </c>
      <c r="C87" s="39" t="str">
        <f>Lists!L87</f>
        <v>bizhub 958</v>
      </c>
      <c r="D87" s="39" t="str">
        <f>Lists!M87</f>
        <v>MFD-BW</v>
      </c>
      <c r="E87" s="40" t="str">
        <f>Lists!N87</f>
        <v>Konica Minolta</v>
      </c>
      <c r="F87" s="39" t="str">
        <f>Lists!O87</f>
        <v>High</v>
      </c>
      <c r="G87" s="39">
        <v>3</v>
      </c>
      <c r="H87" s="159">
        <f>IF(C87="Not Offered","",VLOOKUP(C87,Data!$H:$BB,5,FALSE))</f>
        <v>12005.400000000001</v>
      </c>
      <c r="I87" s="159">
        <f>IF(C87="Not Offered","",IF('Lowest TCO'!$B$3="Zone 1 (Perth Metro)",0,VLOOKUP($C87,Data!$H:$BG,43+(MATCH('Lowest TCO'!$B$3,Locations,0)),FALSE)))</f>
        <v>2013</v>
      </c>
      <c r="J87" s="28">
        <f>IF(C87="Not Offered","",VLOOKUP($C87,Data!$H:$AL,4+2*(MATCH('Lowest TCO'!$B$3,Locations,0)),FALSE))</f>
        <v>1.0999999999999999E-2</v>
      </c>
      <c r="K87" s="28">
        <f>IF(C87="Not Offered","",VLOOKUP($C87,Data!$H:$AL,5+2*(MATCH('Lowest TCO'!$B$3,Locations,0)),FALSE))</f>
        <v>0</v>
      </c>
      <c r="L87" s="160">
        <f>IF(H87="","",ROUNDUP(('Lowest TCO'!$D$3*5)/(VLOOKUP(tco_data!$C87,Data!$H:$J,3,FALSE)),0)*tco_data!$H87)</f>
        <v>12005.400000000001</v>
      </c>
      <c r="M87" s="210">
        <f>IF(OR(H87="",J87="N/A"),"",(5*J87*('Lowest TCO'!$D$3*(IF(RIGHT(D87,2)="BW",1,1-'Lowest TCO'!$F$3)))))</f>
        <v>5499.9999999999991</v>
      </c>
      <c r="N87" s="210">
        <f>IF(OR(H87="",K87="N/A"),"",(5*K87*('Lowest TCO'!$D$3*('Lowest TCO'!$F$3))))</f>
        <v>0</v>
      </c>
      <c r="O87" s="210" t="str">
        <f>IF(L87="","",IF(AND('Lowest TCO'!$H$3&lt;&gt;"All",'Lowest TCO'!$H$3&lt;&gt;tco_data!D87),"",IF(J87="N/A","",IF(AND(RIGHT($D87,2)="BW",'Lowest TCO'!$H$3=0),"",SUM(L87:N87)+I87))))</f>
        <v/>
      </c>
    </row>
    <row r="88" spans="1:15" ht="18" customHeight="1" x14ac:dyDescent="0.2">
      <c r="A88" s="209" t="str">
        <f>IF(O88="","",IF(AND(tco_data!D88&lt;&gt;'Lowest TCO'!H$3,'Lowest TCO'!H$3&lt;&gt;"All"),"",IF(ISNA(RANK(tco_data!O88,tco_data!O$2:O$129)),"",RANK(tco_data!O88,tco_data!O$2:O$129,1))))</f>
        <v/>
      </c>
      <c r="B88" s="161" t="str">
        <f t="shared" si="1"/>
        <v>MFD-BW High Kyocera</v>
      </c>
      <c r="C88" s="39" t="str">
        <f>Lists!L88</f>
        <v>TASkalfa 6004i</v>
      </c>
      <c r="D88" s="39" t="str">
        <f>Lists!M88</f>
        <v>MFD-BW</v>
      </c>
      <c r="E88" s="40" t="str">
        <f>Lists!N88</f>
        <v>Kyocera</v>
      </c>
      <c r="F88" s="39" t="str">
        <f>Lists!O88</f>
        <v>High</v>
      </c>
      <c r="G88" s="39">
        <v>1</v>
      </c>
      <c r="H88" s="159">
        <f>IF(C88="Not Offered","",VLOOKUP(C88,Data!$H:$BB,5,FALSE))</f>
        <v>4631</v>
      </c>
      <c r="I88" s="159">
        <f>IF(C88="Not Offered","",IF('Lowest TCO'!$B$3="Zone 1 (Perth Metro)",0,VLOOKUP($C88,Data!$H:$BG,43+(MATCH('Lowest TCO'!$B$3,Locations,0)),FALSE)))</f>
        <v>770</v>
      </c>
      <c r="J88" s="28">
        <f>IF(C88="Not Offered","",VLOOKUP($C88,Data!$H:$AL,4+2*(MATCH('Lowest TCO'!$B$3,Locations,0)),FALSE))</f>
        <v>9.9000000000000008E-3</v>
      </c>
      <c r="K88" s="28">
        <f>IF(C88="Not Offered","",VLOOKUP($C88,Data!$H:$AL,5+2*(MATCH('Lowest TCO'!$B$3,Locations,0)),FALSE))</f>
        <v>0</v>
      </c>
      <c r="L88" s="160">
        <f>IF(H88="","",ROUNDUP(('Lowest TCO'!$D$3*5)/(VLOOKUP(tco_data!$C88,Data!$H:$J,3,FALSE)),0)*tco_data!$H88)</f>
        <v>4631</v>
      </c>
      <c r="M88" s="210">
        <f>IF(OR(H88="",J88="N/A"),"",(5*J88*('Lowest TCO'!$D$3*(IF(RIGHT(D88,2)="BW",1,1-'Lowest TCO'!$F$3)))))</f>
        <v>4950</v>
      </c>
      <c r="N88" s="210">
        <f>IF(OR(H88="",K88="N/A"),"",(5*K88*('Lowest TCO'!$D$3*('Lowest TCO'!$F$3))))</f>
        <v>0</v>
      </c>
      <c r="O88" s="210" t="str">
        <f>IF(L88="","",IF(AND('Lowest TCO'!$H$3&lt;&gt;"All",'Lowest TCO'!$H$3&lt;&gt;tco_data!D88),"",IF(J88="N/A","",IF(AND(RIGHT($D88,2)="BW",'Lowest TCO'!$H$3=0),"",SUM(L88:N88)+I88))))</f>
        <v/>
      </c>
    </row>
    <row r="89" spans="1:15" ht="18" customHeight="1" x14ac:dyDescent="0.2">
      <c r="A89" s="209" t="str">
        <f>IF(O89="","",IF(AND(tco_data!D89&lt;&gt;'Lowest TCO'!H$3,'Lowest TCO'!H$3&lt;&gt;"All"),"",IF(ISNA(RANK(tco_data!O89,tco_data!O$2:O$129)),"",RANK(tco_data!O89,tco_data!O$2:O$129,1))))</f>
        <v/>
      </c>
      <c r="B89" s="161" t="str">
        <f t="shared" si="1"/>
        <v>MFD-BW High Kyocera</v>
      </c>
      <c r="C89" s="39" t="str">
        <f>Lists!L89</f>
        <v>TASKalfa 7004i</v>
      </c>
      <c r="D89" s="39" t="str">
        <f>Lists!M89</f>
        <v>MFD-BW</v>
      </c>
      <c r="E89" s="40" t="str">
        <f>Lists!N89</f>
        <v>Kyocera</v>
      </c>
      <c r="F89" s="39" t="str">
        <f>Lists!O89</f>
        <v>High</v>
      </c>
      <c r="G89" s="39">
        <v>2</v>
      </c>
      <c r="H89" s="159">
        <f>IF(C89="Not Offered","",VLOOKUP(C89,Data!$H:$BB,5,FALSE))</f>
        <v>6529.6</v>
      </c>
      <c r="I89" s="159">
        <f>IF(C89="Not Offered","",IF('Lowest TCO'!$B$3="Zone 1 (Perth Metro)",0,VLOOKUP($C89,Data!$H:$BG,43+(MATCH('Lowest TCO'!$B$3,Locations,0)),FALSE)))</f>
        <v>990</v>
      </c>
      <c r="J89" s="28">
        <f>IF(C89="Not Offered","",VLOOKUP($C89,Data!$H:$AL,4+2*(MATCH('Lowest TCO'!$B$3,Locations,0)),FALSE))</f>
        <v>9.9000000000000008E-3</v>
      </c>
      <c r="K89" s="28">
        <f>IF(C89="Not Offered","",VLOOKUP($C89,Data!$H:$AL,5+2*(MATCH('Lowest TCO'!$B$3,Locations,0)),FALSE))</f>
        <v>0</v>
      </c>
      <c r="L89" s="160">
        <f>IF(H89="","",ROUNDUP(('Lowest TCO'!$D$3*5)/(VLOOKUP(tco_data!$C89,Data!$H:$J,3,FALSE)),0)*tco_data!$H89)</f>
        <v>6529.6</v>
      </c>
      <c r="M89" s="210">
        <f>IF(OR(H89="",J89="N/A"),"",(5*J89*('Lowest TCO'!$D$3*(IF(RIGHT(D89,2)="BW",1,1-'Lowest TCO'!$F$3)))))</f>
        <v>4950</v>
      </c>
      <c r="N89" s="210">
        <f>IF(OR(H89="",K89="N/A"),"",(5*K89*('Lowest TCO'!$D$3*('Lowest TCO'!$F$3))))</f>
        <v>0</v>
      </c>
      <c r="O89" s="210" t="str">
        <f>IF(L89="","",IF(AND('Lowest TCO'!$H$3&lt;&gt;"All",'Lowest TCO'!$H$3&lt;&gt;tco_data!D89),"",IF(J89="N/A","",IF(AND(RIGHT($D89,2)="BW",'Lowest TCO'!$H$3=0),"",SUM(L89:N89)+I89))))</f>
        <v/>
      </c>
    </row>
    <row r="90" spans="1:15" ht="18" customHeight="1" x14ac:dyDescent="0.2">
      <c r="A90" s="209" t="str">
        <f>IF(O90="","",IF(AND(tco_data!D90&lt;&gt;'Lowest TCO'!H$3,'Lowest TCO'!H$3&lt;&gt;"All"),"",IF(ISNA(RANK(tco_data!O90,tco_data!O$2:O$129)),"",RANK(tco_data!O90,tco_data!O$2:O$129,1))))</f>
        <v/>
      </c>
      <c r="B90" s="161" t="str">
        <f t="shared" si="1"/>
        <v>MFD-BW High Kyocera</v>
      </c>
      <c r="C90" s="39" t="str">
        <f>Lists!L90</f>
        <v>TASKalfa 9003i</v>
      </c>
      <c r="D90" s="39" t="str">
        <f>Lists!M90</f>
        <v>MFD-BW</v>
      </c>
      <c r="E90" s="40" t="str">
        <f>Lists!N90</f>
        <v>Kyocera</v>
      </c>
      <c r="F90" s="39" t="str">
        <f>Lists!O90</f>
        <v>High</v>
      </c>
      <c r="G90" s="39">
        <v>3</v>
      </c>
      <c r="H90" s="159">
        <f>IF(C90="Not Offered","",VLOOKUP(C90,Data!$H:$BB,5,FALSE))</f>
        <v>12749</v>
      </c>
      <c r="I90" s="159">
        <f>IF(C90="Not Offered","",IF('Lowest TCO'!$B$3="Zone 1 (Perth Metro)",0,VLOOKUP($C90,Data!$H:$BG,43+(MATCH('Lowest TCO'!$B$3,Locations,0)),FALSE)))</f>
        <v>1210</v>
      </c>
      <c r="J90" s="28">
        <f>IF(C90="Not Offered","",VLOOKUP($C90,Data!$H:$AL,4+2*(MATCH('Lowest TCO'!$B$3,Locations,0)),FALSE))</f>
        <v>9.9000000000000008E-3</v>
      </c>
      <c r="K90" s="28">
        <f>IF(C90="Not Offered","",VLOOKUP($C90,Data!$H:$AL,5+2*(MATCH('Lowest TCO'!$B$3,Locations,0)),FALSE))</f>
        <v>0</v>
      </c>
      <c r="L90" s="160">
        <f>IF(H90="","",ROUNDUP(('Lowest TCO'!$D$3*5)/(VLOOKUP(tco_data!$C90,Data!$H:$J,3,FALSE)),0)*tco_data!$H90)</f>
        <v>12749</v>
      </c>
      <c r="M90" s="210">
        <f>IF(OR(H90="",J90="N/A"),"",(5*J90*('Lowest TCO'!$D$3*(IF(RIGHT(D90,2)="BW",1,1-'Lowest TCO'!$F$3)))))</f>
        <v>4950</v>
      </c>
      <c r="N90" s="210">
        <f>IF(OR(H90="",K90="N/A"),"",(5*K90*('Lowest TCO'!$D$3*('Lowest TCO'!$F$3))))</f>
        <v>0</v>
      </c>
      <c r="O90" s="210" t="str">
        <f>IF(L90="","",IF(AND('Lowest TCO'!$H$3&lt;&gt;"All",'Lowest TCO'!$H$3&lt;&gt;tco_data!D90),"",IF(J90="N/A","",IF(AND(RIGHT($D90,2)="BW",'Lowest TCO'!$H$3=0),"",SUM(L90:N90)+I90))))</f>
        <v/>
      </c>
    </row>
    <row r="91" spans="1:15" ht="18" customHeight="1" x14ac:dyDescent="0.2">
      <c r="A91" s="209" t="str">
        <f>IF(O91="","",IF(AND(tco_data!D91&lt;&gt;'Lowest TCO'!H$3,'Lowest TCO'!H$3&lt;&gt;"All"),"",IF(ISNA(RANK(tco_data!O91,tco_data!O$2:O$129)),"",RANK(tco_data!O91,tco_data!O$2:O$129,1))))</f>
        <v/>
      </c>
      <c r="B91" s="161" t="str">
        <f t="shared" si="1"/>
        <v>MFD-BW High Ricoh</v>
      </c>
      <c r="C91" s="39" t="str">
        <f>Lists!L91</f>
        <v>IM 6000</v>
      </c>
      <c r="D91" s="39" t="str">
        <f>Lists!M91</f>
        <v>MFD-BW</v>
      </c>
      <c r="E91" s="40" t="str">
        <f>Lists!N91</f>
        <v>Ricoh</v>
      </c>
      <c r="F91" s="39" t="str">
        <f>Lists!O91</f>
        <v>High</v>
      </c>
      <c r="G91" s="39">
        <v>1</v>
      </c>
      <c r="H91" s="159">
        <f>IF(C91="Not Offered","",VLOOKUP(C91,Data!$H:$BB,5,FALSE))</f>
        <v>5817.6360000000004</v>
      </c>
      <c r="I91" s="159">
        <f>IF(C91="Not Offered","",IF('Lowest TCO'!$B$3="Zone 1 (Perth Metro)",0,VLOOKUP($C91,Data!$H:$BG,43+(MATCH('Lowest TCO'!$B$3,Locations,0)),FALSE)))</f>
        <v>1308.67</v>
      </c>
      <c r="J91" s="28">
        <f>IF(C91="Not Offered","",VLOOKUP($C91,Data!$H:$AL,4+2*(MATCH('Lowest TCO'!$B$3,Locations,0)),FALSE))</f>
        <v>1.1000000000000001E-2</v>
      </c>
      <c r="K91" s="28">
        <f>IF(C91="Not Offered","",VLOOKUP($C91,Data!$H:$AL,5+2*(MATCH('Lowest TCO'!$B$3,Locations,0)),FALSE))</f>
        <v>0</v>
      </c>
      <c r="L91" s="160">
        <f>IF(H91="","",ROUNDUP(('Lowest TCO'!$D$3*5)/(VLOOKUP(tco_data!$C91,Data!$H:$J,3,FALSE)),0)*tco_data!$H91)</f>
        <v>5817.6360000000004</v>
      </c>
      <c r="M91" s="210">
        <f>IF(OR(H91="",J91="N/A"),"",(5*J91*('Lowest TCO'!$D$3*(IF(RIGHT(D91,2)="BW",1,1-'Lowest TCO'!$F$3)))))</f>
        <v>5500.0000000000009</v>
      </c>
      <c r="N91" s="210">
        <f>IF(OR(H91="",K91="N/A"),"",(5*K91*('Lowest TCO'!$D$3*('Lowest TCO'!$F$3))))</f>
        <v>0</v>
      </c>
      <c r="O91" s="210" t="str">
        <f>IF(L91="","",IF(AND('Lowest TCO'!$H$3&lt;&gt;"All",'Lowest TCO'!$H$3&lt;&gt;tco_data!D91),"",IF(J91="N/A","",IF(AND(RIGHT($D91,2)="BW",'Lowest TCO'!$H$3=0),"",SUM(L91:N91)+I91))))</f>
        <v/>
      </c>
    </row>
    <row r="92" spans="1:15" ht="18" customHeight="1" x14ac:dyDescent="0.2">
      <c r="A92" s="209" t="str">
        <f>IF(O92="","",IF(AND(tco_data!D92&lt;&gt;'Lowest TCO'!H$3,'Lowest TCO'!H$3&lt;&gt;"All"),"",IF(ISNA(RANK(tco_data!O92,tco_data!O$2:O$129)),"",RANK(tco_data!O92,tco_data!O$2:O$129,1))))</f>
        <v/>
      </c>
      <c r="B92" s="161" t="str">
        <f t="shared" si="1"/>
        <v>MFD-BW High Ricoh</v>
      </c>
      <c r="C92" s="39" t="str">
        <f>Lists!L92</f>
        <v>IM 7000</v>
      </c>
      <c r="D92" s="39" t="str">
        <f>Lists!M92</f>
        <v>MFD-BW</v>
      </c>
      <c r="E92" s="40" t="str">
        <f>Lists!N92</f>
        <v>Ricoh</v>
      </c>
      <c r="F92" s="39" t="str">
        <f>Lists!O92</f>
        <v>High</v>
      </c>
      <c r="G92" s="39">
        <v>2</v>
      </c>
      <c r="H92" s="159">
        <f>IF(C92="Not Offered","",VLOOKUP(C92,Data!$H:$BB,5,FALSE))</f>
        <v>7293.1320000000005</v>
      </c>
      <c r="I92" s="159">
        <f>IF(C92="Not Offered","",IF('Lowest TCO'!$B$3="Zone 1 (Perth Metro)",0,VLOOKUP($C92,Data!$H:$BG,43+(MATCH('Lowest TCO'!$B$3,Locations,0)),FALSE)))</f>
        <v>1445.2900000000002</v>
      </c>
      <c r="J92" s="28">
        <f>IF(C92="Not Offered","",VLOOKUP($C92,Data!$H:$AL,4+2*(MATCH('Lowest TCO'!$B$3,Locations,0)),FALSE))</f>
        <v>9.9000000000000008E-3</v>
      </c>
      <c r="K92" s="28">
        <f>IF(C92="Not Offered","",VLOOKUP($C92,Data!$H:$AL,5+2*(MATCH('Lowest TCO'!$B$3,Locations,0)),FALSE))</f>
        <v>0</v>
      </c>
      <c r="L92" s="160">
        <f>IF(H92="","",ROUNDUP(('Lowest TCO'!$D$3*5)/(VLOOKUP(tco_data!$C92,Data!$H:$J,3,FALSE)),0)*tco_data!$H92)</f>
        <v>7293.1320000000005</v>
      </c>
      <c r="M92" s="210">
        <f>IF(OR(H92="",J92="N/A"),"",(5*J92*('Lowest TCO'!$D$3*(IF(RIGHT(D92,2)="BW",1,1-'Lowest TCO'!$F$3)))))</f>
        <v>4950</v>
      </c>
      <c r="N92" s="210">
        <f>IF(OR(H92="",K92="N/A"),"",(5*K92*('Lowest TCO'!$D$3*('Lowest TCO'!$F$3))))</f>
        <v>0</v>
      </c>
      <c r="O92" s="210" t="str">
        <f>IF(L92="","",IF(AND('Lowest TCO'!$H$3&lt;&gt;"All",'Lowest TCO'!$H$3&lt;&gt;tco_data!D92),"",IF(J92="N/A","",IF(AND(RIGHT($D92,2)="BW",'Lowest TCO'!$H$3=0),"",SUM(L92:N92)+I92))))</f>
        <v/>
      </c>
    </row>
    <row r="93" spans="1:15" ht="18" customHeight="1" x14ac:dyDescent="0.2">
      <c r="A93" s="209" t="str">
        <f>IF(O93="","",IF(AND(tco_data!D93&lt;&gt;'Lowest TCO'!H$3,'Lowest TCO'!H$3&lt;&gt;"All"),"",IF(ISNA(RANK(tco_data!O93,tco_data!O$2:O$129)),"",RANK(tco_data!O93,tco_data!O$2:O$129,1))))</f>
        <v/>
      </c>
      <c r="B93" s="161" t="str">
        <f t="shared" si="1"/>
        <v>MFD-BW High Ricoh</v>
      </c>
      <c r="C93" s="39" t="str">
        <f>Lists!L93</f>
        <v>IM 9000</v>
      </c>
      <c r="D93" s="39" t="str">
        <f>Lists!M93</f>
        <v>MFD-BW</v>
      </c>
      <c r="E93" s="40" t="str">
        <f>Lists!N93</f>
        <v>Ricoh</v>
      </c>
      <c r="F93" s="39" t="str">
        <f>Lists!O93</f>
        <v>High</v>
      </c>
      <c r="G93" s="39">
        <v>3</v>
      </c>
      <c r="H93" s="159">
        <f>IF(C93="Not Offered","",VLOOKUP(C93,Data!$H:$BB,5,FALSE))</f>
        <v>10215.612000000001</v>
      </c>
      <c r="I93" s="159">
        <f>IF(C93="Not Offered","",IF('Lowest TCO'!$B$3="Zone 1 (Perth Metro)",0,VLOOKUP($C93,Data!$H:$BG,43+(MATCH('Lowest TCO'!$B$3,Locations,0)),FALSE)))</f>
        <v>1715.8900000000003</v>
      </c>
      <c r="J93" s="28">
        <f>IF(C93="Not Offered","",VLOOKUP($C93,Data!$H:$AL,4+2*(MATCH('Lowest TCO'!$B$3,Locations,0)),FALSE))</f>
        <v>9.9000000000000008E-3</v>
      </c>
      <c r="K93" s="28">
        <f>IF(C93="Not Offered","",VLOOKUP($C93,Data!$H:$AL,5+2*(MATCH('Lowest TCO'!$B$3,Locations,0)),FALSE))</f>
        <v>0</v>
      </c>
      <c r="L93" s="160">
        <f>IF(H93="","",ROUNDUP(('Lowest TCO'!$D$3*5)/(VLOOKUP(tco_data!$C93,Data!$H:$J,3,FALSE)),0)*tco_data!$H93)</f>
        <v>10215.612000000001</v>
      </c>
      <c r="M93" s="210">
        <f>IF(OR(H93="",J93="N/A"),"",(5*J93*('Lowest TCO'!$D$3*(IF(RIGHT(D93,2)="BW",1,1-'Lowest TCO'!$F$3)))))</f>
        <v>4950</v>
      </c>
      <c r="N93" s="210">
        <f>IF(OR(H93="",K93="N/A"),"",(5*K93*('Lowest TCO'!$D$3*('Lowest TCO'!$F$3))))</f>
        <v>0</v>
      </c>
      <c r="O93" s="210" t="str">
        <f>IF(L93="","",IF(AND('Lowest TCO'!$H$3&lt;&gt;"All",'Lowest TCO'!$H$3&lt;&gt;tco_data!D93),"",IF(J93="N/A","",IF(AND(RIGHT($D93,2)="BW",'Lowest TCO'!$H$3=0),"",SUM(L93:N93)+I93))))</f>
        <v/>
      </c>
    </row>
    <row r="94" spans="1:15" ht="18" customHeight="1" x14ac:dyDescent="0.2">
      <c r="A94" s="209" t="str">
        <f>IF(O94="","",IF(AND(tco_data!D94&lt;&gt;'Lowest TCO'!H$3,'Lowest TCO'!H$3&lt;&gt;"All"),"",IF(ISNA(RANK(tco_data!O94,tco_data!O$2:O$129)),"",RANK(tco_data!O94,tco_data!O$2:O$129,1))))</f>
        <v/>
      </c>
      <c r="B94" s="161" t="str">
        <f t="shared" si="1"/>
        <v>SFP-Colour Low Konica Minolta</v>
      </c>
      <c r="C94" s="39" t="str">
        <f>Lists!L94</f>
        <v>Not Offered</v>
      </c>
      <c r="D94" s="39" t="str">
        <f>Lists!M94</f>
        <v>SFP-Colour</v>
      </c>
      <c r="E94" s="42" t="str">
        <f>Lists!N94</f>
        <v>Konica Minolta</v>
      </c>
      <c r="F94" s="39" t="str">
        <f>Lists!O94</f>
        <v>Low</v>
      </c>
      <c r="G94" s="39">
        <v>1</v>
      </c>
      <c r="H94" s="159" t="str">
        <f>IF(C94="Not Offered","",VLOOKUP(C94,Data!$H:$BB,5,FALSE))</f>
        <v/>
      </c>
      <c r="I94" s="159" t="str">
        <f>IF(C94="Not Offered","",IF('Lowest TCO'!$B$3="Zone 1 (Perth Metro)",0,VLOOKUP($C94,Data!$H:$BG,43+(MATCH('Lowest TCO'!$B$3,Locations,0)),FALSE)))</f>
        <v/>
      </c>
      <c r="J94" s="28" t="str">
        <f>IF(C94="Not Offered","",VLOOKUP($C94,Data!$H:$AL,4+2*(MATCH('Lowest TCO'!$B$3,Locations,0)),FALSE))</f>
        <v/>
      </c>
      <c r="K94" s="28" t="str">
        <f>IF(C94="Not Offered","",VLOOKUP($C94,Data!$H:$AL,5+2*(MATCH('Lowest TCO'!$B$3,Locations,0)),FALSE))</f>
        <v/>
      </c>
      <c r="L94" s="160" t="str">
        <f>IF(H94="","",ROUNDUP(('Lowest TCO'!$D$3*5)/(VLOOKUP(tco_data!$C94,Data!$H:$J,3,FALSE)),0)*tco_data!$H94)</f>
        <v/>
      </c>
      <c r="M94" s="210" t="str">
        <f>IF(OR(H94="",J94="N/A"),"",(5*J94*('Lowest TCO'!$D$3*(IF(RIGHT(D94,2)="BW",1,1-'Lowest TCO'!$F$3)))))</f>
        <v/>
      </c>
      <c r="N94" s="210" t="str">
        <f>IF(OR(H94="",K94="N/A"),"",(5*K94*('Lowest TCO'!$D$3*('Lowest TCO'!$F$3))))</f>
        <v/>
      </c>
      <c r="O94" s="210" t="str">
        <f>IF(L94="","",IF(AND('Lowest TCO'!$H$3&lt;&gt;"All",'Lowest TCO'!$H$3&lt;&gt;tco_data!D94),"",IF(J94="N/A","",IF(AND(RIGHT($D94,2)="BW",'Lowest TCO'!$H$3=0),"",SUM(L94:N94)+I94))))</f>
        <v/>
      </c>
    </row>
    <row r="95" spans="1:15" ht="18" customHeight="1" x14ac:dyDescent="0.2">
      <c r="A95" s="209" t="str">
        <f>IF(O95="","",IF(AND(tco_data!D95&lt;&gt;'Lowest TCO'!H$3,'Lowest TCO'!H$3&lt;&gt;"All"),"",IF(ISNA(RANK(tco_data!O95,tco_data!O$2:O$129)),"",RANK(tco_data!O95,tco_data!O$2:O$129,1))))</f>
        <v/>
      </c>
      <c r="B95" s="162" t="str">
        <f t="shared" si="1"/>
        <v>SFP-Colour Low Konica Minolta</v>
      </c>
      <c r="C95" s="41" t="str">
        <f>Lists!L95</f>
        <v>Not Offered</v>
      </c>
      <c r="D95" s="44" t="str">
        <f>Lists!M95</f>
        <v>SFP-Colour</v>
      </c>
      <c r="E95" s="43" t="str">
        <f>Lists!N95</f>
        <v>Konica Minolta</v>
      </c>
      <c r="F95" s="44" t="str">
        <f>Lists!O95</f>
        <v>Low</v>
      </c>
      <c r="G95" s="44">
        <v>2</v>
      </c>
      <c r="H95" s="163" t="str">
        <f>IF(C95="Not Offered","",VLOOKUP(C95,Data!$H:$BB,5,FALSE))</f>
        <v/>
      </c>
      <c r="I95" s="163" t="str">
        <f>IF(C95="Not Offered","",IF('Lowest TCO'!$B$3="Zone 1 (Perth Metro)",0,VLOOKUP($C95,Data!$H:$BG,43+(MATCH('Lowest TCO'!$B$3,Locations,0)),FALSE)))</f>
        <v/>
      </c>
      <c r="J95" s="35" t="str">
        <f>IF(C95="Not Offered","",VLOOKUP($C95,Data!$H:$AL,4+2*(MATCH('Lowest TCO'!$B$3,Locations,0)),FALSE))</f>
        <v/>
      </c>
      <c r="K95" s="35" t="str">
        <f>IF(C95="Not Offered","",VLOOKUP($C95,Data!$H:$AL,5+2*(MATCH('Lowest TCO'!$B$3,Locations,0)),FALSE))</f>
        <v/>
      </c>
      <c r="L95" s="164" t="str">
        <f>IF(H95="","",ROUNDUP(('Lowest TCO'!$D$3*5)/(VLOOKUP(tco_data!$C95,Data!$H:$J,3,FALSE)),0)*tco_data!$H95)</f>
        <v/>
      </c>
      <c r="M95" s="211" t="str">
        <f>IF(OR(H95="",J95="N/A"),"",(5*J95*('Lowest TCO'!$D$3*(IF(RIGHT(D95,2)="BW",1,1-'Lowest TCO'!$F$3)))))</f>
        <v/>
      </c>
      <c r="N95" s="211" t="str">
        <f>IF(OR(H95="",K95="N/A"),"",(5*K95*('Lowest TCO'!$D$3*('Lowest TCO'!$F$3))))</f>
        <v/>
      </c>
      <c r="O95" s="210" t="str">
        <f>IF(L95="","",IF(AND('Lowest TCO'!$H$3&lt;&gt;"All",'Lowest TCO'!$H$3&lt;&gt;tco_data!D95),"",IF(J95="N/A","",IF(AND(RIGHT($D95,2)="BW",'Lowest TCO'!$H$3=0),"",SUM(L95:N95)+I95))))</f>
        <v/>
      </c>
    </row>
    <row r="96" spans="1:15" ht="18" customHeight="1" x14ac:dyDescent="0.2">
      <c r="A96" s="209" t="str">
        <f>IF(O96="","",IF(AND(tco_data!D96&lt;&gt;'Lowest TCO'!H$3,'Lowest TCO'!H$3&lt;&gt;"All"),"",IF(ISNA(RANK(tco_data!O96,tco_data!O$2:O$129)),"",RANK(tco_data!O96,tco_data!O$2:O$129,1))))</f>
        <v/>
      </c>
      <c r="B96" s="161" t="str">
        <f t="shared" si="1"/>
        <v>SFP-Colour Low Kyocera</v>
      </c>
      <c r="C96" s="39" t="str">
        <f>Lists!L96</f>
        <v>Not Offered</v>
      </c>
      <c r="D96" s="39" t="str">
        <f>Lists!M96</f>
        <v>SFP-Colour</v>
      </c>
      <c r="E96" s="42" t="str">
        <f>Lists!N96</f>
        <v>Kyocera</v>
      </c>
      <c r="F96" s="39" t="str">
        <f>Lists!O96</f>
        <v>Low</v>
      </c>
      <c r="G96" s="39">
        <v>1</v>
      </c>
      <c r="H96" s="159" t="str">
        <f>IF(C96="Not Offered","",VLOOKUP(C96,Data!$H:$BB,5,FALSE))</f>
        <v/>
      </c>
      <c r="I96" s="159" t="str">
        <f>IF(C96="Not Offered","",IF('Lowest TCO'!$B$3="Zone 1 (Perth Metro)",0,VLOOKUP($C96,Data!$H:$BG,43+(MATCH('Lowest TCO'!$B$3,Locations,0)),FALSE)))</f>
        <v/>
      </c>
      <c r="J96" s="28" t="str">
        <f>IF(C96="Not Offered","",VLOOKUP($C96,Data!$H:$AL,4+2*(MATCH('Lowest TCO'!$B$3,Locations,0)),FALSE))</f>
        <v/>
      </c>
      <c r="K96" s="28" t="str">
        <f>IF(C96="Not Offered","",VLOOKUP($C96,Data!$H:$AL,5+2*(MATCH('Lowest TCO'!$B$3,Locations,0)),FALSE))</f>
        <v/>
      </c>
      <c r="L96" s="160" t="str">
        <f>IF(H96="","",ROUNDUP(('Lowest TCO'!$D$3*5)/(VLOOKUP(tco_data!$C96,Data!$H:$J,3,FALSE)),0)*tco_data!$H96)</f>
        <v/>
      </c>
      <c r="M96" s="210" t="str">
        <f>IF(OR(H96="",J96="N/A"),"",(5*J96*('Lowest TCO'!$D$3*(IF(RIGHT(D96,2)="BW",1,1-'Lowest TCO'!$F$3)))))</f>
        <v/>
      </c>
      <c r="N96" s="210" t="str">
        <f>IF(OR(H96="",K96="N/A"),"",(5*K96*('Lowest TCO'!$D$3*('Lowest TCO'!$F$3))))</f>
        <v/>
      </c>
      <c r="O96" s="210" t="str">
        <f>IF(L96="","",IF(AND('Lowest TCO'!$H$3&lt;&gt;"All",'Lowest TCO'!$H$3&lt;&gt;tco_data!D96),"",IF(J96="N/A","",IF(AND(RIGHT($D96,2)="BW",'Lowest TCO'!$H$3=0),"",SUM(L96:N96)+I96))))</f>
        <v/>
      </c>
    </row>
    <row r="97" spans="1:15" ht="18" customHeight="1" x14ac:dyDescent="0.2">
      <c r="A97" s="209" t="str">
        <f>IF(O97="","",IF(AND(tco_data!D97&lt;&gt;'Lowest TCO'!H$3,'Lowest TCO'!H$3&lt;&gt;"All"),"",IF(ISNA(RANK(tco_data!O97,tco_data!O$2:O$129)),"",RANK(tco_data!O97,tco_data!O$2:O$129,1))))</f>
        <v/>
      </c>
      <c r="B97" s="161" t="str">
        <f t="shared" si="1"/>
        <v>SFP-Colour Low Kyocera</v>
      </c>
      <c r="C97" s="39" t="str">
        <f>Lists!L97</f>
        <v>Ecosys P5026CDN</v>
      </c>
      <c r="D97" s="39" t="str">
        <f>Lists!M97</f>
        <v>SFP-Colour</v>
      </c>
      <c r="E97" s="42" t="str">
        <f>Lists!N97</f>
        <v>Kyocera</v>
      </c>
      <c r="F97" s="39" t="str">
        <f>Lists!O97</f>
        <v>Low</v>
      </c>
      <c r="G97" s="39">
        <v>2</v>
      </c>
      <c r="H97" s="159">
        <f>IF(C97="Not Offered","",VLOOKUP(C97,Data!$H:$BB,5,FALSE))</f>
        <v>444.4</v>
      </c>
      <c r="I97" s="159">
        <f>IF(C97="Not Offered","",IF('Lowest TCO'!$B$3="Zone 1 (Perth Metro)",0,VLOOKUP($C97,Data!$H:$BG,43+(MATCH('Lowest TCO'!$B$3,Locations,0)),FALSE)))</f>
        <v>66</v>
      </c>
      <c r="J97" s="28">
        <f>IF(C97="Not Offered","",VLOOKUP($C97,Data!$H:$AL,4+2*(MATCH('Lowest TCO'!$B$3,Locations,0)),FALSE))</f>
        <v>6.2920000000000004E-2</v>
      </c>
      <c r="K97" s="28">
        <f>IF(C97="Not Offered","",VLOOKUP($C97,Data!$H:$AL,5+2*(MATCH('Lowest TCO'!$B$3,Locations,0)),FALSE))</f>
        <v>0.46012999999999998</v>
      </c>
      <c r="L97" s="160">
        <f>IF(H97="","",ROUNDUP(('Lowest TCO'!$D$3*5)/(VLOOKUP(tco_data!$C97,Data!$H:$J,3,FALSE)),0)*tco_data!$H97)</f>
        <v>2222</v>
      </c>
      <c r="M97" s="210">
        <f>IF(OR(H97="",J97="N/A"),"",(5*J97*('Lowest TCO'!$D$3*(IF(RIGHT(D97,2)="BW",1,1-'Lowest TCO'!$F$3)))))</f>
        <v>25168</v>
      </c>
      <c r="N97" s="210">
        <f>IF(OR(H97="",K97="N/A"),"",(5*K97*('Lowest TCO'!$D$3*('Lowest TCO'!$F$3))))</f>
        <v>46013</v>
      </c>
      <c r="O97" s="210" t="str">
        <f>IF(L97="","",IF(AND('Lowest TCO'!$H$3&lt;&gt;"All",'Lowest TCO'!$H$3&lt;&gt;tco_data!D97),"",IF(J97="N/A","",IF(AND(RIGHT($D97,2)="BW",'Lowest TCO'!$H$3=0),"",SUM(L97:N97)+I97))))</f>
        <v/>
      </c>
    </row>
    <row r="98" spans="1:15" ht="18" customHeight="1" x14ac:dyDescent="0.2">
      <c r="A98" s="209" t="str">
        <f>IF(O98="","",IF(AND(tco_data!D98&lt;&gt;'Lowest TCO'!H$3,'Lowest TCO'!H$3&lt;&gt;"All"),"",IF(ISNA(RANK(tco_data!O98,tco_data!O$2:O$129)),"",RANK(tco_data!O98,tco_data!O$2:O$129,1))))</f>
        <v/>
      </c>
      <c r="B98" s="161" t="str">
        <f t="shared" si="1"/>
        <v>SFP-Colour Low Ricoh</v>
      </c>
      <c r="C98" s="39" t="str">
        <f>Lists!L98</f>
        <v>P C311W</v>
      </c>
      <c r="D98" s="39" t="str">
        <f>Lists!M98</f>
        <v>SFP-Colour</v>
      </c>
      <c r="E98" s="42" t="str">
        <f>Lists!N98</f>
        <v>Ricoh</v>
      </c>
      <c r="F98" s="39" t="str">
        <f>Lists!O98</f>
        <v>Low</v>
      </c>
      <c r="G98" s="39">
        <v>1</v>
      </c>
      <c r="H98" s="159">
        <f>IF(C98="Not Offered","",VLOOKUP(C98,Data!$H:$BB,5,FALSE))</f>
        <v>383.72400000000005</v>
      </c>
      <c r="I98" s="159">
        <f>IF(C98="Not Offered","",IF('Lowest TCO'!$B$3="Zone 1 (Perth Metro)",0,VLOOKUP($C98,Data!$H:$BG,43+(MATCH('Lowest TCO'!$B$3,Locations,0)),FALSE)))</f>
        <v>475.53000000000003</v>
      </c>
      <c r="J98" s="28">
        <f>IF(C98="Not Offered","",VLOOKUP($C98,Data!$H:$AL,4+2*(MATCH('Lowest TCO'!$B$3,Locations,0)),FALSE))</f>
        <v>3.3000000000000002E-2</v>
      </c>
      <c r="K98" s="28">
        <f>IF(C98="Not Offered","",VLOOKUP($C98,Data!$H:$AL,5+2*(MATCH('Lowest TCO'!$B$3,Locations,0)),FALSE))</f>
        <v>0.15400000000000003</v>
      </c>
      <c r="L98" s="160">
        <f>IF(H98="","",ROUNDUP(('Lowest TCO'!$D$3*5)/(VLOOKUP(tco_data!$C98,Data!$H:$J,3,FALSE)),0)*tco_data!$H98)</f>
        <v>1151.172</v>
      </c>
      <c r="M98" s="210">
        <f>IF(OR(H98="",J98="N/A"),"",(5*J98*('Lowest TCO'!$D$3*(IF(RIGHT(D98,2)="BW",1,1-'Lowest TCO'!$F$3)))))</f>
        <v>13200</v>
      </c>
      <c r="N98" s="210">
        <f>IF(OR(H98="",K98="N/A"),"",(5*K98*('Lowest TCO'!$D$3*('Lowest TCO'!$F$3))))</f>
        <v>15400.000000000002</v>
      </c>
      <c r="O98" s="210" t="str">
        <f>IF(L98="","",IF(AND('Lowest TCO'!$H$3&lt;&gt;"All",'Lowest TCO'!$H$3&lt;&gt;tco_data!D98),"",IF(J98="N/A","",IF(AND(RIGHT($D98,2)="BW",'Lowest TCO'!$H$3=0),"",SUM(L98:N98)+I98))))</f>
        <v/>
      </c>
    </row>
    <row r="99" spans="1:15" ht="18" customHeight="1" x14ac:dyDescent="0.2">
      <c r="A99" s="209" t="str">
        <f>IF(O99="","",IF(AND(tco_data!D99&lt;&gt;'Lowest TCO'!H$3,'Lowest TCO'!H$3&lt;&gt;"All"),"",IF(ISNA(RANK(tco_data!O99,tco_data!O$2:O$129)),"",RANK(tco_data!O99,tco_data!O$2:O$129,1))))</f>
        <v/>
      </c>
      <c r="B99" s="161" t="str">
        <f t="shared" si="1"/>
        <v>SFP-Colour Low Ricoh</v>
      </c>
      <c r="C99" s="39" t="str">
        <f>Lists!L99</f>
        <v>M C251FW</v>
      </c>
      <c r="D99" s="39" t="str">
        <f>Lists!M99</f>
        <v>SFP-Colour</v>
      </c>
      <c r="E99" s="42" t="str">
        <f>Lists!N99</f>
        <v>Ricoh</v>
      </c>
      <c r="F99" s="39" t="str">
        <f>Lists!O99</f>
        <v>Low</v>
      </c>
      <c r="G99" s="39">
        <v>2</v>
      </c>
      <c r="H99" s="159">
        <f>IF(C99="Not Offered","",VLOOKUP(C99,Data!$H:$BB,5,FALSE))</f>
        <v>563.11199999999997</v>
      </c>
      <c r="I99" s="159">
        <f>IF(C99="Not Offered","",IF('Lowest TCO'!$B$3="Zone 1 (Perth Metro)",0,VLOOKUP($C99,Data!$H:$BG,43+(MATCH('Lowest TCO'!$B$3,Locations,0)),FALSE)))</f>
        <v>492.14</v>
      </c>
      <c r="J99" s="28">
        <f>IF(C99="Not Offered","",VLOOKUP($C99,Data!$H:$AL,4+2*(MATCH('Lowest TCO'!$B$3,Locations,0)),FALSE))</f>
        <v>3.3000000000000002E-2</v>
      </c>
      <c r="K99" s="28">
        <f>IF(C99="Not Offered","",VLOOKUP($C99,Data!$H:$AL,5+2*(MATCH('Lowest TCO'!$B$3,Locations,0)),FALSE))</f>
        <v>0.15400000000000003</v>
      </c>
      <c r="L99" s="160">
        <f>IF(H99="","",ROUNDUP(('Lowest TCO'!$D$3*5)/(VLOOKUP(tco_data!$C99,Data!$H:$J,3,FALSE)),0)*tco_data!$H99)</f>
        <v>1689.3359999999998</v>
      </c>
      <c r="M99" s="210">
        <f>IF(OR(H99="",J99="N/A"),"",(5*J99*('Lowest TCO'!$D$3*(IF(RIGHT(D99,2)="BW",1,1-'Lowest TCO'!$F$3)))))</f>
        <v>13200</v>
      </c>
      <c r="N99" s="210">
        <f>IF(OR(H99="",K99="N/A"),"",(5*K99*('Lowest TCO'!$D$3*('Lowest TCO'!$F$3))))</f>
        <v>15400.000000000002</v>
      </c>
      <c r="O99" s="210" t="str">
        <f>IF(L99="","",IF(AND('Lowest TCO'!$H$3&lt;&gt;"All",'Lowest TCO'!$H$3&lt;&gt;tco_data!D99),"",IF(J99="N/A","",IF(AND(RIGHT($D99,2)="BW",'Lowest TCO'!$H$3=0),"",SUM(L99:N99)+I99))))</f>
        <v/>
      </c>
    </row>
    <row r="100" spans="1:15" ht="18" customHeight="1" x14ac:dyDescent="0.2">
      <c r="A100" s="209" t="str">
        <f>IF(O100="","",IF(AND(tco_data!D100&lt;&gt;'Lowest TCO'!H$3,'Lowest TCO'!H$3&lt;&gt;"All"),"",IF(ISNA(RANK(tco_data!O100,tco_data!O$2:O$129)),"",RANK(tco_data!O100,tco_data!O$2:O$129,1))))</f>
        <v/>
      </c>
      <c r="B100" s="162" t="str">
        <f t="shared" si="1"/>
        <v>SFP-Colour Medium Konica Minolta</v>
      </c>
      <c r="C100" s="41" t="str">
        <f>Lists!L100</f>
        <v>bizhub C3301i</v>
      </c>
      <c r="D100" s="44" t="str">
        <f>Lists!M100</f>
        <v>SFP-Colour</v>
      </c>
      <c r="E100" s="43" t="str">
        <f>Lists!N100</f>
        <v>Konica Minolta</v>
      </c>
      <c r="F100" s="44" t="str">
        <f>Lists!O100</f>
        <v>Medium</v>
      </c>
      <c r="G100" s="44">
        <v>1</v>
      </c>
      <c r="H100" s="163">
        <f>IF(C100="Not Offered","",VLOOKUP(C100,Data!$H:$BB,5,FALSE))</f>
        <v>1401.807</v>
      </c>
      <c r="I100" s="163">
        <f>IF(C100="Not Offered","",IF('Lowest TCO'!$B$3="Zone 1 (Perth Metro)",0,VLOOKUP($C100,Data!$H:$BG,43+(MATCH('Lowest TCO'!$B$3,Locations,0)),FALSE)))</f>
        <v>891</v>
      </c>
      <c r="J100" s="35">
        <f>IF(C100="Not Offered","",VLOOKUP($C100,Data!$H:$AL,4+2*(MATCH('Lowest TCO'!$B$3,Locations,0)),FALSE))</f>
        <v>2.75E-2</v>
      </c>
      <c r="K100" s="35">
        <f>IF(C100="Not Offered","",VLOOKUP($C100,Data!$H:$AL,5+2*(MATCH('Lowest TCO'!$B$3,Locations,0)),FALSE))</f>
        <v>0.154</v>
      </c>
      <c r="L100" s="164">
        <f>IF(H100="","",ROUNDUP(('Lowest TCO'!$D$3*5)/(VLOOKUP(tco_data!$C100,Data!$H:$J,3,FALSE)),0)*tco_data!$H100)</f>
        <v>2803.614</v>
      </c>
      <c r="M100" s="211">
        <f>IF(OR(H100="",J100="N/A"),"",(5*J100*('Lowest TCO'!$D$3*(IF(RIGHT(D100,2)="BW",1,1-'Lowest TCO'!$F$3)))))</f>
        <v>11000</v>
      </c>
      <c r="N100" s="211">
        <f>IF(OR(H100="",K100="N/A"),"",(5*K100*('Lowest TCO'!$D$3*('Lowest TCO'!$F$3))))</f>
        <v>15400</v>
      </c>
      <c r="O100" s="210" t="str">
        <f>IF(L100="","",IF(AND('Lowest TCO'!$H$3&lt;&gt;"All",'Lowest TCO'!$H$3&lt;&gt;tco_data!D100),"",IF(J100="N/A","",IF(AND(RIGHT($D100,2)="BW",'Lowest TCO'!$H$3=0),"",SUM(L100:N100)+I100))))</f>
        <v/>
      </c>
    </row>
    <row r="101" spans="1:15" ht="18" customHeight="1" x14ac:dyDescent="0.2">
      <c r="A101" s="209" t="str">
        <f>IF(O101="","",IF(AND(tco_data!D101&lt;&gt;'Lowest TCO'!H$3,'Lowest TCO'!H$3&lt;&gt;"All"),"",IF(ISNA(RANK(tco_data!O101,tco_data!O$2:O$129)),"",RANK(tco_data!O101,tco_data!O$2:O$129,1))))</f>
        <v/>
      </c>
      <c r="B101" s="162" t="str">
        <f t="shared" si="1"/>
        <v>SFP-Colour Medium Konica Minolta</v>
      </c>
      <c r="C101" s="41" t="str">
        <f>Lists!L101</f>
        <v>Not Offered</v>
      </c>
      <c r="D101" s="44" t="str">
        <f>Lists!M101</f>
        <v>SFP-Colour</v>
      </c>
      <c r="E101" s="43" t="str">
        <f>Lists!N101</f>
        <v>Konica Minolta</v>
      </c>
      <c r="F101" s="44" t="str">
        <f>Lists!O101</f>
        <v>Medium</v>
      </c>
      <c r="G101" s="44">
        <v>2</v>
      </c>
      <c r="H101" s="163" t="str">
        <f>IF(C101="Not Offered","",VLOOKUP(C101,Data!$H:$BB,5,FALSE))</f>
        <v/>
      </c>
      <c r="I101" s="163" t="str">
        <f>IF(C101="Not Offered","",IF('Lowest TCO'!$B$3="Zone 1 (Perth Metro)",0,VLOOKUP($C101,Data!$H:$BG,43+(MATCH('Lowest TCO'!$B$3,Locations,0)),FALSE)))</f>
        <v/>
      </c>
      <c r="J101" s="35" t="str">
        <f>IF(C101="Not Offered","",VLOOKUP($C101,Data!$H:$AL,4+2*(MATCH('Lowest TCO'!$B$3,Locations,0)),FALSE))</f>
        <v/>
      </c>
      <c r="K101" s="35" t="str">
        <f>IF(C101="Not Offered","",VLOOKUP($C101,Data!$H:$AL,5+2*(MATCH('Lowest TCO'!$B$3,Locations,0)),FALSE))</f>
        <v/>
      </c>
      <c r="L101" s="164" t="str">
        <f>IF(H101="","",ROUNDUP(('Lowest TCO'!$D$3*5)/(VLOOKUP(tco_data!$C101,Data!$H:$J,3,FALSE)),0)*tco_data!$H101)</f>
        <v/>
      </c>
      <c r="M101" s="211" t="str">
        <f>IF(OR(H101="",J101="N/A"),"",(5*J101*('Lowest TCO'!$D$3*(IF(RIGHT(D101,2)="BW",1,1-'Lowest TCO'!$F$3)))))</f>
        <v/>
      </c>
      <c r="N101" s="211" t="str">
        <f>IF(OR(H101="",K101="N/A"),"",(5*K101*('Lowest TCO'!$D$3*('Lowest TCO'!$F$3))))</f>
        <v/>
      </c>
      <c r="O101" s="210" t="str">
        <f>IF(L101="","",IF(AND('Lowest TCO'!$H$3&lt;&gt;"All",'Lowest TCO'!$H$3&lt;&gt;tco_data!D101),"",IF(J101="N/A","",IF(AND(RIGHT($D101,2)="BW",'Lowest TCO'!$H$3=0),"",SUM(L101:N101)+I101))))</f>
        <v/>
      </c>
    </row>
    <row r="102" spans="1:15" ht="18" customHeight="1" x14ac:dyDescent="0.2">
      <c r="A102" s="209" t="str">
        <f>IF(O102="","",IF(AND(tco_data!D102&lt;&gt;'Lowest TCO'!H$3,'Lowest TCO'!H$3&lt;&gt;"All"),"",IF(ISNA(RANK(tco_data!O102,tco_data!O$2:O$129)),"",RANK(tco_data!O102,tco_data!O$2:O$129,1))))</f>
        <v/>
      </c>
      <c r="B102" s="161" t="str">
        <f t="shared" si="1"/>
        <v>SFP-Colour Medium Kyocera</v>
      </c>
      <c r="C102" s="39" t="str">
        <f>Lists!L102</f>
        <v>Ecosys PA3500cx</v>
      </c>
      <c r="D102" s="39" t="str">
        <f>Lists!M102</f>
        <v>SFP-Colour</v>
      </c>
      <c r="E102" s="42" t="str">
        <f>Lists!N102</f>
        <v>Kyocera</v>
      </c>
      <c r="F102" s="39" t="str">
        <f>Lists!O102</f>
        <v>Medium</v>
      </c>
      <c r="G102" s="39">
        <v>1</v>
      </c>
      <c r="H102" s="159">
        <f>IF(C102="Not Offered","",VLOOKUP(C102,Data!$H:$BB,5,FALSE))</f>
        <v>646.79999999999995</v>
      </c>
      <c r="I102" s="159">
        <f>IF(C102="Not Offered","",IF('Lowest TCO'!$B$3="Zone 1 (Perth Metro)",0,VLOOKUP($C102,Data!$H:$BG,43+(MATCH('Lowest TCO'!$B$3,Locations,0)),FALSE)))</f>
        <v>77</v>
      </c>
      <c r="J102" s="28">
        <f>IF(C102="Not Offered","",VLOOKUP($C102,Data!$H:$AL,4+2*(MATCH('Lowest TCO'!$B$3,Locations,0)),FALSE))</f>
        <v>2.4199999999999999E-2</v>
      </c>
      <c r="K102" s="28">
        <f>IF(C102="Not Offered","",VLOOKUP($C102,Data!$H:$AL,5+2*(MATCH('Lowest TCO'!$B$3,Locations,0)),FALSE))</f>
        <v>0.154</v>
      </c>
      <c r="L102" s="160">
        <f>IF(H102="","",ROUNDUP(('Lowest TCO'!$D$3*5)/(VLOOKUP(tco_data!$C102,Data!$H:$J,3,FALSE)),0)*tco_data!$H102)</f>
        <v>646.79999999999995</v>
      </c>
      <c r="M102" s="210">
        <f>IF(OR(H102="",J102="N/A"),"",(5*J102*('Lowest TCO'!$D$3*(IF(RIGHT(D102,2)="BW",1,1-'Lowest TCO'!$F$3)))))</f>
        <v>9680</v>
      </c>
      <c r="N102" s="210">
        <f>IF(OR(H102="",K102="N/A"),"",(5*K102*('Lowest TCO'!$D$3*('Lowest TCO'!$F$3))))</f>
        <v>15400</v>
      </c>
      <c r="O102" s="210" t="str">
        <f>IF(L102="","",IF(AND('Lowest TCO'!$H$3&lt;&gt;"All",'Lowest TCO'!$H$3&lt;&gt;tco_data!D102),"",IF(J102="N/A","",IF(AND(RIGHT($D102,2)="BW",'Lowest TCO'!$H$3=0),"",SUM(L102:N102)+I102))))</f>
        <v/>
      </c>
    </row>
    <row r="103" spans="1:15" ht="18" customHeight="1" x14ac:dyDescent="0.2">
      <c r="A103" s="209" t="str">
        <f>IF(O103="","",IF(AND(tco_data!D103&lt;&gt;'Lowest TCO'!H$3,'Lowest TCO'!H$3&lt;&gt;"All"),"",IF(ISNA(RANK(tco_data!O103,tco_data!O$2:O$129)),"",RANK(tco_data!O103,tco_data!O$2:O$129,1))))</f>
        <v/>
      </c>
      <c r="B103" s="161" t="str">
        <f t="shared" si="1"/>
        <v>SFP-Colour Medium Kyocera</v>
      </c>
      <c r="C103" s="39" t="str">
        <f>Lists!L103</f>
        <v>Not Offered</v>
      </c>
      <c r="D103" s="39" t="str">
        <f>Lists!M103</f>
        <v>SFP-Colour</v>
      </c>
      <c r="E103" s="42" t="str">
        <f>Lists!N103</f>
        <v>Kyocera</v>
      </c>
      <c r="F103" s="39" t="str">
        <f>Lists!O103</f>
        <v>Medium</v>
      </c>
      <c r="G103" s="39">
        <v>2</v>
      </c>
      <c r="H103" s="159" t="str">
        <f>IF(C103="Not Offered","",VLOOKUP(C103,Data!$H:$BB,5,FALSE))</f>
        <v/>
      </c>
      <c r="I103" s="159" t="str">
        <f>IF(C103="Not Offered","",IF('Lowest TCO'!$B$3="Zone 1 (Perth Metro)",0,VLOOKUP($C103,Data!$H:$BG,43+(MATCH('Lowest TCO'!$B$3,Locations,0)),FALSE)))</f>
        <v/>
      </c>
      <c r="J103" s="28" t="str">
        <f>IF(C103="Not Offered","",VLOOKUP($C103,Data!$H:$AL,4+2*(MATCH('Lowest TCO'!$B$3,Locations,0)),FALSE))</f>
        <v/>
      </c>
      <c r="K103" s="28" t="str">
        <f>IF(C103="Not Offered","",VLOOKUP($C103,Data!$H:$AL,5+2*(MATCH('Lowest TCO'!$B$3,Locations,0)),FALSE))</f>
        <v/>
      </c>
      <c r="L103" s="160" t="str">
        <f>IF(H103="","",ROUNDUP(('Lowest TCO'!$D$3*5)/(VLOOKUP(tco_data!$C103,Data!$H:$J,3,FALSE)),0)*tco_data!$H103)</f>
        <v/>
      </c>
      <c r="M103" s="210" t="str">
        <f>IF(OR(H103="",J103="N/A"),"",(5*J103*('Lowest TCO'!$D$3*(IF(RIGHT(D103,2)="BW",1,1-'Lowest TCO'!$F$3)))))</f>
        <v/>
      </c>
      <c r="N103" s="210" t="str">
        <f>IF(OR(H103="",K103="N/A"),"",(5*K103*('Lowest TCO'!$D$3*('Lowest TCO'!$F$3))))</f>
        <v/>
      </c>
      <c r="O103" s="210" t="str">
        <f>IF(L103="","",IF(AND('Lowest TCO'!$H$3&lt;&gt;"All",'Lowest TCO'!$H$3&lt;&gt;tco_data!D103),"",IF(J103="N/A","",IF(AND(RIGHT($D103,2)="BW",'Lowest TCO'!$H$3=0),"",SUM(L103:N103)+I103))))</f>
        <v/>
      </c>
    </row>
    <row r="104" spans="1:15" ht="18" customHeight="1" x14ac:dyDescent="0.2">
      <c r="A104" s="209" t="str">
        <f>IF(O104="","",IF(AND(tco_data!D104&lt;&gt;'Lowest TCO'!H$3,'Lowest TCO'!H$3&lt;&gt;"All"),"",IF(ISNA(RANK(tco_data!O104,tco_data!O$2:O$129)),"",RANK(tco_data!O104,tco_data!O$2:O$129,1))))</f>
        <v/>
      </c>
      <c r="B104" s="161" t="str">
        <f t="shared" si="1"/>
        <v>SFP-Colour Medium Ricoh</v>
      </c>
      <c r="C104" s="39" t="str">
        <f>Lists!L104</f>
        <v>Not Offered</v>
      </c>
      <c r="D104" s="39" t="str">
        <f>Lists!M104</f>
        <v>SFP-Colour</v>
      </c>
      <c r="E104" s="42" t="str">
        <f>Lists!N104</f>
        <v>Ricoh</v>
      </c>
      <c r="F104" s="39" t="str">
        <f>Lists!O104</f>
        <v>Medium</v>
      </c>
      <c r="G104" s="39">
        <v>1</v>
      </c>
      <c r="H104" s="159" t="str">
        <f>IF(C104="Not Offered","",VLOOKUP(C104,Data!$H:$BB,5,FALSE))</f>
        <v/>
      </c>
      <c r="I104" s="159" t="str">
        <f>IF(C104="Not Offered","",IF('Lowest TCO'!$B$3="Zone 1 (Perth Metro)",0,VLOOKUP($C104,Data!$H:$BG,43+(MATCH('Lowest TCO'!$B$3,Locations,0)),FALSE)))</f>
        <v/>
      </c>
      <c r="J104" s="28" t="str">
        <f>IF(C104="Not Offered","",VLOOKUP($C104,Data!$H:$AL,4+2*(MATCH('Lowest TCO'!$B$3,Locations,0)),FALSE))</f>
        <v/>
      </c>
      <c r="K104" s="28" t="str">
        <f>IF(C104="Not Offered","",VLOOKUP($C104,Data!$H:$AL,5+2*(MATCH('Lowest TCO'!$B$3,Locations,0)),FALSE))</f>
        <v/>
      </c>
      <c r="L104" s="160" t="str">
        <f>IF(H104="","",ROUNDUP(('Lowest TCO'!$D$3*5)/(VLOOKUP(tco_data!$C104,Data!$H:$J,3,FALSE)),0)*tco_data!$H104)</f>
        <v/>
      </c>
      <c r="M104" s="210" t="str">
        <f>IF(OR(H104="",J104="N/A"),"",(5*J104*('Lowest TCO'!$D$3*(IF(RIGHT(D104,2)="BW",1,1-'Lowest TCO'!$F$3)))))</f>
        <v/>
      </c>
      <c r="N104" s="210" t="str">
        <f>IF(OR(H104="",K104="N/A"),"",(5*K104*('Lowest TCO'!$D$3*('Lowest TCO'!$F$3))))</f>
        <v/>
      </c>
      <c r="O104" s="210" t="str">
        <f>IF(L104="","",IF(AND('Lowest TCO'!$H$3&lt;&gt;"All",'Lowest TCO'!$H$3&lt;&gt;tco_data!D104),"",IF(J104="N/A","",IF(AND(RIGHT($D104,2)="BW",'Lowest TCO'!$H$3=0),"",SUM(L104:N104)+I104))))</f>
        <v/>
      </c>
    </row>
    <row r="105" spans="1:15" ht="18" customHeight="1" x14ac:dyDescent="0.2">
      <c r="A105" s="209" t="str">
        <f>IF(O105="","",IF(AND(tco_data!D105&lt;&gt;'Lowest TCO'!H$3,'Lowest TCO'!H$3&lt;&gt;"All"),"",IF(ISNA(RANK(tco_data!O105,tco_data!O$2:O$129)),"",RANK(tco_data!O105,tco_data!O$2:O$129,1))))</f>
        <v/>
      </c>
      <c r="B105" s="162" t="str">
        <f t="shared" si="1"/>
        <v>SFP-Colour Medium Ricoh</v>
      </c>
      <c r="C105" s="41" t="str">
        <f>Lists!L105</f>
        <v>Not Offered</v>
      </c>
      <c r="D105" s="44" t="str">
        <f>Lists!M105</f>
        <v>SFP-Colour</v>
      </c>
      <c r="E105" s="43" t="str">
        <f>Lists!N105</f>
        <v>Ricoh</v>
      </c>
      <c r="F105" s="44" t="str">
        <f>Lists!O105</f>
        <v>Medium</v>
      </c>
      <c r="G105" s="44">
        <v>2</v>
      </c>
      <c r="H105" s="163" t="str">
        <f>IF(C105="Not Offered","",VLOOKUP(C105,Data!$H:$BB,5,FALSE))</f>
        <v/>
      </c>
      <c r="I105" s="163" t="str">
        <f>IF(C105="Not Offered","",IF('Lowest TCO'!$B$3="Zone 1 (Perth Metro)",0,VLOOKUP($C105,Data!$H:$BG,43+(MATCH('Lowest TCO'!$B$3,Locations,0)),FALSE)))</f>
        <v/>
      </c>
      <c r="J105" s="35" t="str">
        <f>IF(C105="Not Offered","",VLOOKUP($C105,Data!$H:$AL,4+2*(MATCH('Lowest TCO'!$B$3,Locations,0)),FALSE))</f>
        <v/>
      </c>
      <c r="K105" s="35" t="str">
        <f>IF(C105="Not Offered","",VLOOKUP($C105,Data!$H:$AL,5+2*(MATCH('Lowest TCO'!$B$3,Locations,0)),FALSE))</f>
        <v/>
      </c>
      <c r="L105" s="164" t="str">
        <f>IF(H105="","",ROUNDUP(('Lowest TCO'!$D$3*5)/(VLOOKUP(tco_data!$C105,Data!$H:$J,3,FALSE)),0)*tco_data!$H105)</f>
        <v/>
      </c>
      <c r="M105" s="211" t="str">
        <f>IF(OR(H105="",J105="N/A"),"",(5*J105*('Lowest TCO'!$D$3*(IF(RIGHT(D105,2)="BW",1,1-'Lowest TCO'!$F$3)))))</f>
        <v/>
      </c>
      <c r="N105" s="211" t="str">
        <f>IF(OR(H105="",K105="N/A"),"",(5*K105*('Lowest TCO'!$D$3*('Lowest TCO'!$F$3))))</f>
        <v/>
      </c>
      <c r="O105" s="210" t="str">
        <f>IF(L105="","",IF(AND('Lowest TCO'!$H$3&lt;&gt;"All",'Lowest TCO'!$H$3&lt;&gt;tco_data!D105),"",IF(J105="N/A","",IF(AND(RIGHT($D105,2)="BW",'Lowest TCO'!$H$3=0),"",SUM(L105:N105)+I105))))</f>
        <v/>
      </c>
    </row>
    <row r="106" spans="1:15" ht="18" customHeight="1" x14ac:dyDescent="0.2">
      <c r="A106" s="209" t="str">
        <f>IF(O106="","",IF(AND(tco_data!D106&lt;&gt;'Lowest TCO'!H$3,'Lowest TCO'!H$3&lt;&gt;"All"),"",IF(ISNA(RANK(tco_data!O106,tco_data!O$2:O$129)),"",RANK(tco_data!O106,tco_data!O$2:O$129,1))))</f>
        <v/>
      </c>
      <c r="B106" s="162" t="str">
        <f t="shared" si="1"/>
        <v>SFP-Colour High Konica Minolta</v>
      </c>
      <c r="C106" s="41" t="str">
        <f>Lists!L106</f>
        <v>bizhub C4001i</v>
      </c>
      <c r="D106" s="44" t="str">
        <f>Lists!M106</f>
        <v>SFP-Colour</v>
      </c>
      <c r="E106" s="43" t="str">
        <f>Lists!N106</f>
        <v>Konica Minolta</v>
      </c>
      <c r="F106" s="44" t="str">
        <f>Lists!O106</f>
        <v>High</v>
      </c>
      <c r="G106" s="44">
        <v>1</v>
      </c>
      <c r="H106" s="163">
        <f>IF(C106="Not Offered","",VLOOKUP(C106,Data!$H:$BB,5,FALSE))</f>
        <v>1694.8816948800002</v>
      </c>
      <c r="I106" s="163">
        <f>IF(C106="Not Offered","",IF('Lowest TCO'!$B$3="Zone 1 (Perth Metro)",0,VLOOKUP($C106,Data!$H:$BG,43+(MATCH('Lowest TCO'!$B$3,Locations,0)),FALSE)))</f>
        <v>891</v>
      </c>
      <c r="J106" s="35">
        <f>IF(C106="Not Offered","",VLOOKUP($C106,Data!$H:$AL,4+2*(MATCH('Lowest TCO'!$B$3,Locations,0)),FALSE))</f>
        <v>2.75E-2</v>
      </c>
      <c r="K106" s="35">
        <f>IF(C106="Not Offered","",VLOOKUP($C106,Data!$H:$AL,5+2*(MATCH('Lowest TCO'!$B$3,Locations,0)),FALSE))</f>
        <v>0.154</v>
      </c>
      <c r="L106" s="164">
        <f>IF(H106="","",ROUNDUP(('Lowest TCO'!$D$3*5)/(VLOOKUP(tco_data!$C106,Data!$H:$J,3,FALSE)),0)*tco_data!$H106)</f>
        <v>3389.7633897600003</v>
      </c>
      <c r="M106" s="211">
        <f>IF(OR(H106="",J106="N/A"),"",(5*J106*('Lowest TCO'!$D$3*(IF(RIGHT(D106,2)="BW",1,1-'Lowest TCO'!$F$3)))))</f>
        <v>11000</v>
      </c>
      <c r="N106" s="211">
        <f>IF(OR(H106="",K106="N/A"),"",(5*K106*('Lowest TCO'!$D$3*('Lowest TCO'!$F$3))))</f>
        <v>15400</v>
      </c>
      <c r="O106" s="210" t="str">
        <f>IF(L106="","",IF(AND('Lowest TCO'!$H$3&lt;&gt;"All",'Lowest TCO'!$H$3&lt;&gt;tco_data!D106),"",IF(J106="N/A","",IF(AND(RIGHT($D106,2)="BW",'Lowest TCO'!$H$3=0),"",SUM(L106:N106)+I106))))</f>
        <v/>
      </c>
    </row>
    <row r="107" spans="1:15" ht="18" customHeight="1" x14ac:dyDescent="0.2">
      <c r="A107" s="209" t="str">
        <f>IF(O107="","",IF(AND(tco_data!D107&lt;&gt;'Lowest TCO'!H$3,'Lowest TCO'!H$3&lt;&gt;"All"),"",IF(ISNA(RANK(tco_data!O107,tco_data!O$2:O$129)),"",RANK(tco_data!O107,tco_data!O$2:O$129,1))))</f>
        <v/>
      </c>
      <c r="B107" s="162" t="str">
        <f t="shared" si="1"/>
        <v>SFP-Colour High Konica Minolta</v>
      </c>
      <c r="C107" s="41" t="str">
        <f>Lists!L107</f>
        <v>Not Offered</v>
      </c>
      <c r="D107" s="44" t="str">
        <f>Lists!M107</f>
        <v>SFP-Colour</v>
      </c>
      <c r="E107" s="43" t="str">
        <f>Lists!N107</f>
        <v>Konica Minolta</v>
      </c>
      <c r="F107" s="44" t="str">
        <f>Lists!O107</f>
        <v>High</v>
      </c>
      <c r="G107" s="44">
        <v>2</v>
      </c>
      <c r="H107" s="163" t="str">
        <f>IF(C107="Not Offered","",VLOOKUP(C107,Data!$H:$BB,5,FALSE))</f>
        <v/>
      </c>
      <c r="I107" s="163" t="str">
        <f>IF(C107="Not Offered","",IF('Lowest TCO'!$B$3="Zone 1 (Perth Metro)",0,VLOOKUP($C107,Data!$H:$BG,43+(MATCH('Lowest TCO'!$B$3,Locations,0)),FALSE)))</f>
        <v/>
      </c>
      <c r="J107" s="35" t="str">
        <f>IF(C107="Not Offered","",VLOOKUP($C107,Data!$H:$AL,4+2*(MATCH('Lowest TCO'!$B$3,Locations,0)),FALSE))</f>
        <v/>
      </c>
      <c r="K107" s="35" t="str">
        <f>IF(C107="Not Offered","",VLOOKUP($C107,Data!$H:$AL,5+2*(MATCH('Lowest TCO'!$B$3,Locations,0)),FALSE))</f>
        <v/>
      </c>
      <c r="L107" s="164" t="str">
        <f>IF(H107="","",ROUNDUP(('Lowest TCO'!$D$3*5)/(VLOOKUP(tco_data!$C107,Data!$H:$J,3,FALSE)),0)*tco_data!$H107)</f>
        <v/>
      </c>
      <c r="M107" s="211" t="str">
        <f>IF(OR(H107="",J107="N/A"),"",(5*J107*('Lowest TCO'!$D$3*(IF(RIGHT(D107,2)="BW",1,1-'Lowest TCO'!$F$3)))))</f>
        <v/>
      </c>
      <c r="N107" s="211" t="str">
        <f>IF(OR(H107="",K107="N/A"),"",(5*K107*('Lowest TCO'!$D$3*('Lowest TCO'!$F$3))))</f>
        <v/>
      </c>
      <c r="O107" s="210" t="str">
        <f>IF(L107="","",IF(AND('Lowest TCO'!$H$3&lt;&gt;"All",'Lowest TCO'!$H$3&lt;&gt;tco_data!D107),"",IF(J107="N/A","",IF(AND(RIGHT($D107,2)="BW",'Lowest TCO'!$H$3=0),"",SUM(L107:N107)+I107))))</f>
        <v/>
      </c>
    </row>
    <row r="108" spans="1:15" ht="18" customHeight="1" x14ac:dyDescent="0.2">
      <c r="A108" s="209" t="str">
        <f>IF(O108="","",IF(AND(tco_data!D108&lt;&gt;'Lowest TCO'!H$3,'Lowest TCO'!H$3&lt;&gt;"All"),"",IF(ISNA(RANK(tco_data!O108,tco_data!O$2:O$129)),"",RANK(tco_data!O108,tco_data!O$2:O$129,1))))</f>
        <v/>
      </c>
      <c r="B108" s="161" t="str">
        <f t="shared" si="1"/>
        <v>SFP-Colour High Kyocera</v>
      </c>
      <c r="C108" s="39" t="str">
        <f>Lists!L108</f>
        <v>Not Offered</v>
      </c>
      <c r="D108" s="39" t="str">
        <f>Lists!M108</f>
        <v>SFP-Colour</v>
      </c>
      <c r="E108" s="42" t="str">
        <f>Lists!N108</f>
        <v>Kyocera</v>
      </c>
      <c r="F108" s="39" t="str">
        <f>Lists!O108</f>
        <v>High</v>
      </c>
      <c r="G108" s="39">
        <v>1</v>
      </c>
      <c r="H108" s="159" t="str">
        <f>IF(C108="Not Offered","",VLOOKUP(C108,Data!$H:$BB,5,FALSE))</f>
        <v/>
      </c>
      <c r="I108" s="159" t="str">
        <f>IF(C108="Not Offered","",IF('Lowest TCO'!$B$3="Zone 1 (Perth Metro)",0,VLOOKUP($C108,Data!$H:$BG,43+(MATCH('Lowest TCO'!$B$3,Locations,0)),FALSE)))</f>
        <v/>
      </c>
      <c r="J108" s="28" t="str">
        <f>IF(C108="Not Offered","",VLOOKUP($C108,Data!$H:$AL,4+2*(MATCH('Lowest TCO'!$B$3,Locations,0)),FALSE))</f>
        <v/>
      </c>
      <c r="K108" s="28" t="str">
        <f>IF(C108="Not Offered","",VLOOKUP($C108,Data!$H:$AL,5+2*(MATCH('Lowest TCO'!$B$3,Locations,0)),FALSE))</f>
        <v/>
      </c>
      <c r="L108" s="160" t="str">
        <f>IF(H108="","",ROUNDUP(('Lowest TCO'!$D$3*5)/(VLOOKUP(tco_data!$C108,Data!$H:$J,3,FALSE)),0)*tco_data!$H108)</f>
        <v/>
      </c>
      <c r="M108" s="210" t="str">
        <f>IF(OR(H108="",J108="N/A"),"",(5*J108*('Lowest TCO'!$D$3*(IF(RIGHT(D108,2)="BW",1,1-'Lowest TCO'!$F$3)))))</f>
        <v/>
      </c>
      <c r="N108" s="210" t="str">
        <f>IF(OR(H108="",K108="N/A"),"",(5*K108*('Lowest TCO'!$D$3*('Lowest TCO'!$F$3))))</f>
        <v/>
      </c>
      <c r="O108" s="210" t="str">
        <f>IF(L108="","",IF(AND('Lowest TCO'!$H$3&lt;&gt;"All",'Lowest TCO'!$H$3&lt;&gt;tco_data!D108),"",IF(J108="N/A","",IF(AND(RIGHT($D108,2)="BW",'Lowest TCO'!$H$3=0),"",SUM(L108:N108)+I108))))</f>
        <v/>
      </c>
    </row>
    <row r="109" spans="1:15" ht="18" customHeight="1" x14ac:dyDescent="0.2">
      <c r="A109" s="209" t="str">
        <f>IF(O109="","",IF(AND(tco_data!D109&lt;&gt;'Lowest TCO'!H$3,'Lowest TCO'!H$3&lt;&gt;"All"),"",IF(ISNA(RANK(tco_data!O109,tco_data!O$2:O$129)),"",RANK(tco_data!O109,tco_data!O$2:O$129,1))))</f>
        <v/>
      </c>
      <c r="B109" s="161" t="str">
        <f t="shared" si="1"/>
        <v>SFP-Colour High Kyocera</v>
      </c>
      <c r="C109" s="39" t="str">
        <f>Lists!L109</f>
        <v>Ecosys PA4000cx</v>
      </c>
      <c r="D109" s="39" t="str">
        <f>Lists!M109</f>
        <v>SFP-Colour</v>
      </c>
      <c r="E109" s="42" t="str">
        <f>Lists!N109</f>
        <v>Kyocera</v>
      </c>
      <c r="F109" s="39" t="str">
        <f>Lists!O109</f>
        <v>High</v>
      </c>
      <c r="G109" s="39">
        <v>2</v>
      </c>
      <c r="H109" s="159">
        <f>IF(C109="Not Offered","",VLOOKUP(C109,Data!$H:$BB,5,FALSE))</f>
        <v>827.2</v>
      </c>
      <c r="I109" s="159">
        <f>IF(C109="Not Offered","",IF('Lowest TCO'!$B$3="Zone 1 (Perth Metro)",0,VLOOKUP($C109,Data!$H:$BG,43+(MATCH('Lowest TCO'!$B$3,Locations,0)),FALSE)))</f>
        <v>220</v>
      </c>
      <c r="J109" s="28">
        <f>IF(C109="Not Offered","",VLOOKUP($C109,Data!$H:$AL,4+2*(MATCH('Lowest TCO'!$B$3,Locations,0)),FALSE))</f>
        <v>2.1999999999999999E-2</v>
      </c>
      <c r="K109" s="28">
        <f>IF(C109="Not Offered","",VLOOKUP($C109,Data!$H:$AL,5+2*(MATCH('Lowest TCO'!$B$3,Locations,0)),FALSE))</f>
        <v>0.14299999999999999</v>
      </c>
      <c r="L109" s="160">
        <f>IF(H109="","",ROUNDUP(('Lowest TCO'!$D$3*5)/(VLOOKUP(tco_data!$C109,Data!$H:$J,3,FALSE)),0)*tco_data!$H109)</f>
        <v>827.2</v>
      </c>
      <c r="M109" s="210">
        <f>IF(OR(H109="",J109="N/A"),"",(5*J109*('Lowest TCO'!$D$3*(IF(RIGHT(D109,2)="BW",1,1-'Lowest TCO'!$F$3)))))</f>
        <v>8799.9999999999982</v>
      </c>
      <c r="N109" s="210">
        <f>IF(OR(H109="",K109="N/A"),"",(5*K109*('Lowest TCO'!$D$3*('Lowest TCO'!$F$3))))</f>
        <v>14300</v>
      </c>
      <c r="O109" s="210" t="str">
        <f>IF(L109="","",IF(AND('Lowest TCO'!$H$3&lt;&gt;"All",'Lowest TCO'!$H$3&lt;&gt;tco_data!D109),"",IF(J109="N/A","",IF(AND(RIGHT($D109,2)="BW",'Lowest TCO'!$H$3=0),"",SUM(L109:N109)+I109))))</f>
        <v/>
      </c>
    </row>
    <row r="110" spans="1:15" ht="18" customHeight="1" x14ac:dyDescent="0.2">
      <c r="A110" s="209" t="str">
        <f>IF(O110="","",IF(AND(tco_data!D110&lt;&gt;'Lowest TCO'!H$3,'Lowest TCO'!H$3&lt;&gt;"All"),"",IF(ISNA(RANK(tco_data!O110,tco_data!O$2:O$129)),"",RANK(tco_data!O110,tco_data!O$2:O$129,1))))</f>
        <v/>
      </c>
      <c r="B110" s="161" t="str">
        <f t="shared" si="1"/>
        <v>SFP-Colour High Ricoh</v>
      </c>
      <c r="C110" s="39" t="str">
        <f>Lists!L110</f>
        <v>P C600</v>
      </c>
      <c r="D110" s="39" t="str">
        <f>Lists!M110</f>
        <v>SFP-Colour</v>
      </c>
      <c r="E110" s="42" t="str">
        <f>Lists!N110</f>
        <v>Ricoh</v>
      </c>
      <c r="F110" s="39" t="str">
        <f>Lists!O110</f>
        <v>High</v>
      </c>
      <c r="G110" s="39">
        <v>1</v>
      </c>
      <c r="H110" s="159">
        <f>IF(C110="Not Offered","",VLOOKUP(C110,Data!$H:$BB,5,FALSE))</f>
        <v>1095.336</v>
      </c>
      <c r="I110" s="159">
        <f>IF(C110="Not Offered","",IF('Lowest TCO'!$B$3="Zone 1 (Perth Metro)",0,VLOOKUP($C110,Data!$H:$BG,43+(MATCH('Lowest TCO'!$B$3,Locations,0)),FALSE)))</f>
        <v>541.42000000000007</v>
      </c>
      <c r="J110" s="28">
        <f>IF(C110="Not Offered","",VLOOKUP($C110,Data!$H:$AL,4+2*(MATCH('Lowest TCO'!$B$3,Locations,0)),FALSE))</f>
        <v>2.2000000000000002E-2</v>
      </c>
      <c r="K110" s="28">
        <f>IF(C110="Not Offered","",VLOOKUP($C110,Data!$H:$AL,5+2*(MATCH('Lowest TCO'!$B$3,Locations,0)),FALSE))</f>
        <v>0.13200000000000001</v>
      </c>
      <c r="L110" s="160">
        <f>IF(H110="","",ROUNDUP(('Lowest TCO'!$D$3*5)/(VLOOKUP(tco_data!$C110,Data!$H:$J,3,FALSE)),0)*tco_data!$H110)</f>
        <v>1095.336</v>
      </c>
      <c r="M110" s="210">
        <f>IF(OR(H110="",J110="N/A"),"",(5*J110*('Lowest TCO'!$D$3*(IF(RIGHT(D110,2)="BW",1,1-'Lowest TCO'!$F$3)))))</f>
        <v>8800.0000000000018</v>
      </c>
      <c r="N110" s="210">
        <f>IF(OR(H110="",K110="N/A"),"",(5*K110*('Lowest TCO'!$D$3*('Lowest TCO'!$F$3))))</f>
        <v>13200</v>
      </c>
      <c r="O110" s="210" t="str">
        <f>IF(L110="","",IF(AND('Lowest TCO'!$H$3&lt;&gt;"All",'Lowest TCO'!$H$3&lt;&gt;tco_data!D110),"",IF(J110="N/A","",IF(AND(RIGHT($D110,2)="BW",'Lowest TCO'!$H$3=0),"",SUM(L110:N110)+I110))))</f>
        <v/>
      </c>
    </row>
    <row r="111" spans="1:15" ht="18" customHeight="1" x14ac:dyDescent="0.2">
      <c r="A111" s="209" t="str">
        <f>IF(O111="","",IF(AND(tco_data!D111&lt;&gt;'Lowest TCO'!H$3,'Lowest TCO'!H$3&lt;&gt;"All"),"",IF(ISNA(RANK(tco_data!O111,tco_data!O$2:O$129)),"",RANK(tco_data!O111,tco_data!O$2:O$129,1))))</f>
        <v/>
      </c>
      <c r="B111" s="161" t="str">
        <f t="shared" si="1"/>
        <v>SFP-Colour High Ricoh</v>
      </c>
      <c r="C111" s="39" t="str">
        <f>Lists!L111</f>
        <v>SPC840DN</v>
      </c>
      <c r="D111" s="39" t="str">
        <f>Lists!M111</f>
        <v>SFP-Colour</v>
      </c>
      <c r="E111" s="42" t="str">
        <f>Lists!N111</f>
        <v>Ricoh</v>
      </c>
      <c r="F111" s="39" t="str">
        <f>Lists!O111</f>
        <v>High</v>
      </c>
      <c r="G111" s="39">
        <v>2</v>
      </c>
      <c r="H111" s="159">
        <f>IF(C111="Not Offered","",VLOOKUP(C111,Data!$H:$BB,5,FALSE))</f>
        <v>3211.1640000000002</v>
      </c>
      <c r="I111" s="159">
        <f>IF(C111="Not Offered","",IF('Lowest TCO'!$B$3="Zone 1 (Perth Metro)",0,VLOOKUP($C111,Data!$H:$BG,43+(MATCH('Lowest TCO'!$B$3,Locations,0)),FALSE)))</f>
        <v>847.33</v>
      </c>
      <c r="J111" s="28">
        <f>IF(C111="Not Offered","",VLOOKUP($C111,Data!$H:$AL,4+2*(MATCH('Lowest TCO'!$B$3,Locations,0)),FALSE))</f>
        <v>1.43E-2</v>
      </c>
      <c r="K111" s="28">
        <f>IF(C111="Not Offered","",VLOOKUP($C111,Data!$H:$AL,5+2*(MATCH('Lowest TCO'!$B$3,Locations,0)),FALSE))</f>
        <v>0.13200000000000001</v>
      </c>
      <c r="L111" s="160">
        <f>IF(H111="","",ROUNDUP(('Lowest TCO'!$D$3*5)/(VLOOKUP(tco_data!$C111,Data!$H:$J,3,FALSE)),0)*tco_data!$H111)</f>
        <v>3211.1640000000002</v>
      </c>
      <c r="M111" s="210">
        <f>IF(OR(H111="",J111="N/A"),"",(5*J111*('Lowest TCO'!$D$3*(IF(RIGHT(D111,2)="BW",1,1-'Lowest TCO'!$F$3)))))</f>
        <v>5720.0000000000009</v>
      </c>
      <c r="N111" s="210">
        <f>IF(OR(H111="",K111="N/A"),"",(5*K111*('Lowest TCO'!$D$3*('Lowest TCO'!$F$3))))</f>
        <v>13200</v>
      </c>
      <c r="O111" s="210" t="str">
        <f>IF(L111="","",IF(AND('Lowest TCO'!$H$3&lt;&gt;"All",'Lowest TCO'!$H$3&lt;&gt;tco_data!D111),"",IF(J111="N/A","",IF(AND(RIGHT($D111,2)="BW",'Lowest TCO'!$H$3=0),"",SUM(L111:N111)+I111))))</f>
        <v/>
      </c>
    </row>
    <row r="112" spans="1:15" ht="18" customHeight="1" x14ac:dyDescent="0.2">
      <c r="A112" s="209" t="str">
        <f>IF(O112="","",IF(AND(tco_data!D112&lt;&gt;'Lowest TCO'!H$3,'Lowest TCO'!H$3&lt;&gt;"All"),"",IF(ISNA(RANK(tco_data!O112,tco_data!O$2:O$129)),"",RANK(tco_data!O112,tco_data!O$2:O$129,1))))</f>
        <v/>
      </c>
      <c r="B112" s="162" t="str">
        <f t="shared" si="1"/>
        <v>SFP-BW Low Konica Minolta</v>
      </c>
      <c r="C112" s="41" t="str">
        <f>Lists!L112</f>
        <v>Not Offered</v>
      </c>
      <c r="D112" s="44" t="str">
        <f>Lists!M112</f>
        <v>SFP-BW</v>
      </c>
      <c r="E112" s="43" t="str">
        <f>Lists!N112</f>
        <v>Konica Minolta</v>
      </c>
      <c r="F112" s="44" t="str">
        <f>Lists!O112</f>
        <v>Low</v>
      </c>
      <c r="G112" s="44">
        <v>1</v>
      </c>
      <c r="H112" s="163" t="str">
        <f>IF(C112="Not Offered","",VLOOKUP(C112,Data!$H:$BB,5,FALSE))</f>
        <v/>
      </c>
      <c r="I112" s="163" t="str">
        <f>IF(C112="Not Offered","",IF('Lowest TCO'!$B$3="Zone 1 (Perth Metro)",0,VLOOKUP($C112,Data!$H:$BG,43+(MATCH('Lowest TCO'!$B$3,Locations,0)),FALSE)))</f>
        <v/>
      </c>
      <c r="J112" s="35" t="str">
        <f>IF(C112="Not Offered","",VLOOKUP($C112,Data!$H:$AL,4+2*(MATCH('Lowest TCO'!$B$3,Locations,0)),FALSE))</f>
        <v/>
      </c>
      <c r="K112" s="35" t="str">
        <f>IF(C112="Not Offered","",VLOOKUP($C112,Data!$H:$AL,5+2*(MATCH('Lowest TCO'!$B$3,Locations,0)),FALSE))</f>
        <v/>
      </c>
      <c r="L112" s="164" t="str">
        <f>IF(H112="","",ROUNDUP(('Lowest TCO'!$D$3*5)/(VLOOKUP(tco_data!$C112,Data!$H:$J,3,FALSE)),0)*tco_data!$H112)</f>
        <v/>
      </c>
      <c r="M112" s="211" t="str">
        <f>IF(OR(H112="",J112="N/A"),"",(5*J112*('Lowest TCO'!$D$3*(IF(RIGHT(D112,2)="BW",1,1-'Lowest TCO'!$F$3)))))</f>
        <v/>
      </c>
      <c r="N112" s="211" t="str">
        <f>IF(OR(H112="",K112="N/A"),"",(5*K112*('Lowest TCO'!$D$3*('Lowest TCO'!$F$3))))</f>
        <v/>
      </c>
      <c r="O112" s="210" t="str">
        <f>IF(L112="","",IF(AND('Lowest TCO'!$H$3&lt;&gt;"All",'Lowest TCO'!$H$3&lt;&gt;tco_data!D112),"",IF(J112="N/A","",IF(AND(RIGHT($D112,2)="BW",'Lowest TCO'!$H$3=0),"",SUM(L112:N112)+I112))))</f>
        <v/>
      </c>
    </row>
    <row r="113" spans="1:15" ht="18" customHeight="1" x14ac:dyDescent="0.2">
      <c r="A113" s="209" t="str">
        <f>IF(O113="","",IF(AND(tco_data!D113&lt;&gt;'Lowest TCO'!H$3,'Lowest TCO'!H$3&lt;&gt;"All"),"",IF(ISNA(RANK(tco_data!O113,tco_data!O$2:O$129)),"",RANK(tco_data!O113,tco_data!O$2:O$129,1))))</f>
        <v/>
      </c>
      <c r="B113" s="162" t="str">
        <f t="shared" si="1"/>
        <v>SFP-BW Low Konica Minolta</v>
      </c>
      <c r="C113" s="41" t="str">
        <f>Lists!L113</f>
        <v>Not Offered</v>
      </c>
      <c r="D113" s="44" t="str">
        <f>Lists!M113</f>
        <v>SFP-BW</v>
      </c>
      <c r="E113" s="43" t="str">
        <f>Lists!N113</f>
        <v>Konica Minolta</v>
      </c>
      <c r="F113" s="44" t="str">
        <f>Lists!O113</f>
        <v>Low</v>
      </c>
      <c r="G113" s="44">
        <v>2</v>
      </c>
      <c r="H113" s="163" t="str">
        <f>IF(C113="Not Offered","",VLOOKUP(C113,Data!$H:$BB,5,FALSE))</f>
        <v/>
      </c>
      <c r="I113" s="163" t="str">
        <f>IF(C113="Not Offered","",IF('Lowest TCO'!$B$3="Zone 1 (Perth Metro)",0,VLOOKUP($C113,Data!$H:$BG,43+(MATCH('Lowest TCO'!$B$3,Locations,0)),FALSE)))</f>
        <v/>
      </c>
      <c r="J113" s="35" t="str">
        <f>IF(C113="Not Offered","",VLOOKUP($C113,Data!$H:$AL,4+2*(MATCH('Lowest TCO'!$B$3,Locations,0)),FALSE))</f>
        <v/>
      </c>
      <c r="K113" s="35" t="str">
        <f>IF(C113="Not Offered","",VLOOKUP($C113,Data!$H:$AL,5+2*(MATCH('Lowest TCO'!$B$3,Locations,0)),FALSE))</f>
        <v/>
      </c>
      <c r="L113" s="164" t="str">
        <f>IF(H113="","",ROUNDUP(('Lowest TCO'!$D$3*5)/(VLOOKUP(tco_data!$C113,Data!$H:$J,3,FALSE)),0)*tco_data!$H113)</f>
        <v/>
      </c>
      <c r="M113" s="211" t="str">
        <f>IF(OR(H113="",J113="N/A"),"",(5*J113*('Lowest TCO'!$D$3*(IF(RIGHT(D113,2)="BW",1,1-'Lowest TCO'!$F$3)))))</f>
        <v/>
      </c>
      <c r="N113" s="211" t="str">
        <f>IF(OR(H113="",K113="N/A"),"",(5*K113*('Lowest TCO'!$D$3*('Lowest TCO'!$F$3))))</f>
        <v/>
      </c>
      <c r="O113" s="210" t="str">
        <f>IF(L113="","",IF(AND('Lowest TCO'!$H$3&lt;&gt;"All",'Lowest TCO'!$H$3&lt;&gt;tco_data!D113),"",IF(J113="N/A","",IF(AND(RIGHT($D113,2)="BW",'Lowest TCO'!$H$3=0),"",SUM(L113:N113)+I113))))</f>
        <v/>
      </c>
    </row>
    <row r="114" spans="1:15" ht="18" customHeight="1" x14ac:dyDescent="0.2">
      <c r="A114" s="209" t="str">
        <f>IF(O114="","",IF(AND(tco_data!D114&lt;&gt;'Lowest TCO'!H$3,'Lowest TCO'!H$3&lt;&gt;"All"),"",IF(ISNA(RANK(tco_data!O114,tco_data!O$2:O$129)),"",RANK(tco_data!O114,tco_data!O$2:O$129,1))))</f>
        <v/>
      </c>
      <c r="B114" s="162" t="str">
        <f t="shared" si="1"/>
        <v>SFP-BW Low Kyocera</v>
      </c>
      <c r="C114" s="41" t="str">
        <f>Lists!L114</f>
        <v>Not Offered</v>
      </c>
      <c r="D114" s="44" t="str">
        <f>Lists!M114</f>
        <v>SFP-BW</v>
      </c>
      <c r="E114" s="43" t="str">
        <f>Lists!N114</f>
        <v>Kyocera</v>
      </c>
      <c r="F114" s="44" t="str">
        <f>Lists!O114</f>
        <v>Low</v>
      </c>
      <c r="G114" s="44">
        <v>1</v>
      </c>
      <c r="H114" s="163" t="str">
        <f>IF(C114="Not Offered","",VLOOKUP(C114,Data!$H:$BB,5,FALSE))</f>
        <v/>
      </c>
      <c r="I114" s="163" t="str">
        <f>IF(C114="Not Offered","",IF('Lowest TCO'!$B$3="Zone 1 (Perth Metro)",0,VLOOKUP($C114,Data!$H:$BG,43+(MATCH('Lowest TCO'!$B$3,Locations,0)),FALSE)))</f>
        <v/>
      </c>
      <c r="J114" s="35" t="str">
        <f>IF(C114="Not Offered","",VLOOKUP($C114,Data!$H:$AL,4+2*(MATCH('Lowest TCO'!$B$3,Locations,0)),FALSE))</f>
        <v/>
      </c>
      <c r="K114" s="35" t="str">
        <f>IF(C114="Not Offered","",VLOOKUP($C114,Data!$H:$AL,5+2*(MATCH('Lowest TCO'!$B$3,Locations,0)),FALSE))</f>
        <v/>
      </c>
      <c r="L114" s="164" t="str">
        <f>IF(H114="","",ROUNDUP(('Lowest TCO'!$D$3*5)/(VLOOKUP(tco_data!$C114,Data!$H:$J,3,FALSE)),0)*tco_data!$H114)</f>
        <v/>
      </c>
      <c r="M114" s="211" t="str">
        <f>IF(OR(H114="",J114="N/A"),"",(5*J114*('Lowest TCO'!$D$3*(IF(RIGHT(D114,2)="BW",1,1-'Lowest TCO'!$F$3)))))</f>
        <v/>
      </c>
      <c r="N114" s="211" t="str">
        <f>IF(OR(H114="",K114="N/A"),"",(5*K114*('Lowest TCO'!$D$3*('Lowest TCO'!$F$3))))</f>
        <v/>
      </c>
      <c r="O114" s="210" t="str">
        <f>IF(L114="","",IF(AND('Lowest TCO'!$H$3&lt;&gt;"All",'Lowest TCO'!$H$3&lt;&gt;tco_data!D114),"",IF(J114="N/A","",IF(AND(RIGHT($D114,2)="BW",'Lowest TCO'!$H$3=0),"",SUM(L114:N114)+I114))))</f>
        <v/>
      </c>
    </row>
    <row r="115" spans="1:15" ht="18" customHeight="1" x14ac:dyDescent="0.2">
      <c r="A115" s="209" t="str">
        <f>IF(O115="","",IF(AND(tco_data!D115&lt;&gt;'Lowest TCO'!H$3,'Lowest TCO'!H$3&lt;&gt;"All"),"",IF(ISNA(RANK(tco_data!O115,tco_data!O$2:O$129)),"",RANK(tco_data!O115,tco_data!O$2:O$129,1))))</f>
        <v/>
      </c>
      <c r="B115" s="162" t="str">
        <f t="shared" si="1"/>
        <v>SFP-BW Low Kyocera</v>
      </c>
      <c r="C115" s="41" t="str">
        <f>Lists!L115</f>
        <v>Not Offered</v>
      </c>
      <c r="D115" s="44" t="str">
        <f>Lists!M115</f>
        <v>SFP-BW</v>
      </c>
      <c r="E115" s="43" t="str">
        <f>Lists!N115</f>
        <v>Kyocera</v>
      </c>
      <c r="F115" s="44" t="str">
        <f>Lists!O115</f>
        <v>Low</v>
      </c>
      <c r="G115" s="44">
        <v>2</v>
      </c>
      <c r="H115" s="163" t="str">
        <f>IF(C115="Not Offered","",VLOOKUP(C115,Data!$H:$BB,5,FALSE))</f>
        <v/>
      </c>
      <c r="I115" s="163" t="str">
        <f>IF(C115="Not Offered","",IF('Lowest TCO'!$B$3="Zone 1 (Perth Metro)",0,VLOOKUP($C115,Data!$H:$BG,43+(MATCH('Lowest TCO'!$B$3,Locations,0)),FALSE)))</f>
        <v/>
      </c>
      <c r="J115" s="35" t="str">
        <f>IF(C115="Not Offered","",VLOOKUP($C115,Data!$H:$AL,4+2*(MATCH('Lowest TCO'!$B$3,Locations,0)),FALSE))</f>
        <v/>
      </c>
      <c r="K115" s="35" t="str">
        <f>IF(C115="Not Offered","",VLOOKUP($C115,Data!$H:$AL,5+2*(MATCH('Lowest TCO'!$B$3,Locations,0)),FALSE))</f>
        <v/>
      </c>
      <c r="L115" s="164" t="str">
        <f>IF(H115="","",ROUNDUP(('Lowest TCO'!$D$3*5)/(VLOOKUP(tco_data!$C115,Data!$H:$J,3,FALSE)),0)*tco_data!$H115)</f>
        <v/>
      </c>
      <c r="M115" s="211" t="str">
        <f>IF(OR(H115="",J115="N/A"),"",(5*J115*('Lowest TCO'!$D$3*(IF(RIGHT(D115,2)="BW",1,1-'Lowest TCO'!$F$3)))))</f>
        <v/>
      </c>
      <c r="N115" s="211" t="str">
        <f>IF(OR(H115="",K115="N/A"),"",(5*K115*('Lowest TCO'!$D$3*('Lowest TCO'!$F$3))))</f>
        <v/>
      </c>
      <c r="O115" s="210" t="str">
        <f>IF(L115="","",IF(AND('Lowest TCO'!$H$3&lt;&gt;"All",'Lowest TCO'!$H$3&lt;&gt;tco_data!D115),"",IF(J115="N/A","",IF(AND(RIGHT($D115,2)="BW",'Lowest TCO'!$H$3=0),"",SUM(L115:N115)+I115))))</f>
        <v/>
      </c>
    </row>
    <row r="116" spans="1:15" ht="18" customHeight="1" x14ac:dyDescent="0.2">
      <c r="A116" s="209" t="str">
        <f>IF(O116="","",IF(AND(tco_data!D116&lt;&gt;'Lowest TCO'!H$3,'Lowest TCO'!H$3&lt;&gt;"All"),"",IF(ISNA(RANK(tco_data!O116,tco_data!O$2:O$129)),"",RANK(tco_data!O116,tco_data!O$2:O$129,1))))</f>
        <v/>
      </c>
      <c r="B116" s="161" t="str">
        <f t="shared" si="1"/>
        <v>SFP-BW Low Ricoh</v>
      </c>
      <c r="C116" s="39" t="str">
        <f>Lists!L116</f>
        <v>P 311</v>
      </c>
      <c r="D116" s="39" t="str">
        <f>Lists!M116</f>
        <v>SFP-BW</v>
      </c>
      <c r="E116" s="42" t="str">
        <f>Lists!N116</f>
        <v>Ricoh</v>
      </c>
      <c r="F116" s="39" t="str">
        <f>Lists!O116</f>
        <v>Low</v>
      </c>
      <c r="G116" s="39">
        <v>1</v>
      </c>
      <c r="H116" s="159">
        <f>IF(C116="Not Offered","",VLOOKUP(C116,Data!$H:$BB,5,FALSE))</f>
        <v>364.71600000000001</v>
      </c>
      <c r="I116" s="159" t="str">
        <f>IF(C116="Not Offered","",IF('Lowest TCO'!$B$3="Zone 1 (Perth Metro)",0,VLOOKUP($C116,Data!$H:$BG,43+(MATCH('Lowest TCO'!$B$3,Locations,0)),FALSE)))</f>
        <v>10% + $385</v>
      </c>
      <c r="J116" s="28">
        <f>IF(C116="Not Offered","",VLOOKUP($C116,Data!$H:$AL,4+2*(MATCH('Lowest TCO'!$B$3,Locations,0)),FALSE))</f>
        <v>4.3999999999999997E-2</v>
      </c>
      <c r="K116" s="28">
        <f>IF(C116="Not Offered","",VLOOKUP($C116,Data!$H:$AL,5+2*(MATCH('Lowest TCO'!$B$3,Locations,0)),FALSE))</f>
        <v>0</v>
      </c>
      <c r="L116" s="160">
        <f>IF(H116="","",ROUNDUP(('Lowest TCO'!$D$3*5)/(VLOOKUP(tco_data!$C116,Data!$H:$J,3,FALSE)),0)*tco_data!$H116)</f>
        <v>729.43200000000002</v>
      </c>
      <c r="M116" s="210">
        <f>IF(OR(H116="",J116="N/A"),"",(5*J116*('Lowest TCO'!$D$3*(IF(RIGHT(D116,2)="BW",1,1-'Lowest TCO'!$F$3)))))</f>
        <v>21999.999999999996</v>
      </c>
      <c r="N116" s="210">
        <f>IF(OR(H116="",K116="N/A"),"",(5*K116*('Lowest TCO'!$D$3*('Lowest TCO'!$F$3))))</f>
        <v>0</v>
      </c>
      <c r="O116" s="210" t="str">
        <f>IF(L116="","",IF(AND('Lowest TCO'!$H$3&lt;&gt;"All",'Lowest TCO'!$H$3&lt;&gt;tco_data!D116),"",IF(J116="N/A","",IF(AND(RIGHT($D116,2)="BW",'Lowest TCO'!$H$3=0),"",SUM(L116:N116)+I116))))</f>
        <v/>
      </c>
    </row>
    <row r="117" spans="1:15" ht="18" customHeight="1" x14ac:dyDescent="0.2">
      <c r="A117" s="209" t="str">
        <f>IF(O117="","",IF(AND(tco_data!D117&lt;&gt;'Lowest TCO'!H$3,'Lowest TCO'!H$3&lt;&gt;"All"),"",IF(ISNA(RANK(tco_data!O117,tco_data!O$2:O$129)),"",RANK(tco_data!O117,tco_data!O$2:O$129,1))))</f>
        <v/>
      </c>
      <c r="B117" s="162" t="str">
        <f t="shared" si="1"/>
        <v>SFP-BW Low Ricoh</v>
      </c>
      <c r="C117" s="41" t="str">
        <f>Lists!L117</f>
        <v>Not Offered</v>
      </c>
      <c r="D117" s="44" t="str">
        <f>Lists!M117</f>
        <v>SFP-BW</v>
      </c>
      <c r="E117" s="43" t="str">
        <f>Lists!N117</f>
        <v>Ricoh</v>
      </c>
      <c r="F117" s="44" t="str">
        <f>Lists!O117</f>
        <v>Low</v>
      </c>
      <c r="G117" s="44">
        <v>2</v>
      </c>
      <c r="H117" s="163" t="str">
        <f>IF(C117="Not Offered","",VLOOKUP(C117,Data!$H:$BB,5,FALSE))</f>
        <v/>
      </c>
      <c r="I117" s="163" t="str">
        <f>IF(C117="Not Offered","",IF('Lowest TCO'!$B$3="Zone 1 (Perth Metro)",0,VLOOKUP($C117,Data!$H:$BG,43+(MATCH('Lowest TCO'!$B$3,Locations,0)),FALSE)))</f>
        <v/>
      </c>
      <c r="J117" s="35" t="str">
        <f>IF(C117="Not Offered","",VLOOKUP($C117,Data!$H:$AL,4+2*(MATCH('Lowest TCO'!$B$3,Locations,0)),FALSE))</f>
        <v/>
      </c>
      <c r="K117" s="35" t="str">
        <f>IF(C117="Not Offered","",VLOOKUP($C117,Data!$H:$AL,5+2*(MATCH('Lowest TCO'!$B$3,Locations,0)),FALSE))</f>
        <v/>
      </c>
      <c r="L117" s="164" t="str">
        <f>IF(H117="","",ROUNDUP(('Lowest TCO'!$D$3*5)/(VLOOKUP(tco_data!$C117,Data!$H:$J,3,FALSE)),0)*tco_data!$H117)</f>
        <v/>
      </c>
      <c r="M117" s="211" t="str">
        <f>IF(OR(H117="",J117="N/A"),"",(5*J117*('Lowest TCO'!$D$3*(IF(RIGHT(D117,2)="BW",1,1-'Lowest TCO'!$F$3)))))</f>
        <v/>
      </c>
      <c r="N117" s="211" t="str">
        <f>IF(OR(H117="",K117="N/A"),"",(5*K117*('Lowest TCO'!$D$3*('Lowest TCO'!$F$3))))</f>
        <v/>
      </c>
      <c r="O117" s="210" t="str">
        <f>IF(L117="","",IF(AND('Lowest TCO'!$H$3&lt;&gt;"All",'Lowest TCO'!$H$3&lt;&gt;tco_data!D117),"",IF(J117="N/A","",IF(AND(RIGHT($D117,2)="BW",'Lowest TCO'!$H$3=0),"",SUM(L117:N117)+I117))))</f>
        <v/>
      </c>
    </row>
    <row r="118" spans="1:15" ht="18" customHeight="1" x14ac:dyDescent="0.2">
      <c r="A118" s="209" t="str">
        <f>IF(O118="","",IF(AND(tco_data!D118&lt;&gt;'Lowest TCO'!H$3,'Lowest TCO'!H$3&lt;&gt;"All"),"",IF(ISNA(RANK(tco_data!O118,tco_data!O$2:O$129)),"",RANK(tco_data!O118,tco_data!O$2:O$129,1))))</f>
        <v/>
      </c>
      <c r="B118" s="161" t="str">
        <f t="shared" si="1"/>
        <v>SFP-BW Medium Konica Minolta</v>
      </c>
      <c r="C118" s="39" t="str">
        <f>Lists!L118</f>
        <v>Not Offered</v>
      </c>
      <c r="D118" s="39" t="str">
        <f>Lists!M118</f>
        <v>SFP-BW</v>
      </c>
      <c r="E118" s="42" t="str">
        <f>Lists!N118</f>
        <v>Konica Minolta</v>
      </c>
      <c r="F118" s="39" t="str">
        <f>Lists!O118</f>
        <v>Medium</v>
      </c>
      <c r="G118" s="39">
        <v>1</v>
      </c>
      <c r="H118" s="159" t="str">
        <f>IF(C118="Not Offered","",VLOOKUP(C118,Data!$H:$BB,5,FALSE))</f>
        <v/>
      </c>
      <c r="I118" s="159" t="str">
        <f>IF(C118="Not Offered","",IF('Lowest TCO'!$B$3="Zone 1 (Perth Metro)",0,VLOOKUP($C118,Data!$H:$BG,43+(MATCH('Lowest TCO'!$B$3,Locations,0)),FALSE)))</f>
        <v/>
      </c>
      <c r="J118" s="28" t="str">
        <f>IF(C118="Not Offered","",VLOOKUP($C118,Data!$H:$AL,4+2*(MATCH('Lowest TCO'!$B$3,Locations,0)),FALSE))</f>
        <v/>
      </c>
      <c r="K118" s="28" t="str">
        <f>IF(C118="Not Offered","",VLOOKUP($C118,Data!$H:$AL,5+2*(MATCH('Lowest TCO'!$B$3,Locations,0)),FALSE))</f>
        <v/>
      </c>
      <c r="L118" s="160" t="str">
        <f>IF(H118="","",ROUNDUP(('Lowest TCO'!$D$3*5)/(VLOOKUP(tco_data!$C118,Data!$H:$J,3,FALSE)),0)*tco_data!$H118)</f>
        <v/>
      </c>
      <c r="M118" s="210" t="str">
        <f>IF(OR(H118="",J118="N/A"),"",(5*J118*('Lowest TCO'!$D$3*(IF(RIGHT(D118,2)="BW",1,1-'Lowest TCO'!$F$3)))))</f>
        <v/>
      </c>
      <c r="N118" s="210" t="str">
        <f>IF(OR(H118="",K118="N/A"),"",(5*K118*('Lowest TCO'!$D$3*('Lowest TCO'!$F$3))))</f>
        <v/>
      </c>
      <c r="O118" s="210" t="str">
        <f>IF(L118="","",IF(AND('Lowest TCO'!$H$3&lt;&gt;"All",'Lowest TCO'!$H$3&lt;&gt;tco_data!D118),"",IF(J118="N/A","",IF(AND(RIGHT($D118,2)="BW",'Lowest TCO'!$H$3=0),"",SUM(L118:N118)+I118))))</f>
        <v/>
      </c>
    </row>
    <row r="119" spans="1:15" ht="18" customHeight="1" x14ac:dyDescent="0.2">
      <c r="A119" s="209" t="str">
        <f>IF(O119="","",IF(AND(tco_data!D119&lt;&gt;'Lowest TCO'!H$3,'Lowest TCO'!H$3&lt;&gt;"All"),"",IF(ISNA(RANK(tco_data!O119,tco_data!O$2:O$129)),"",RANK(tco_data!O119,tco_data!O$2:O$129,1))))</f>
        <v/>
      </c>
      <c r="B119" s="162" t="str">
        <f t="shared" si="1"/>
        <v>SFP-BW Medium Konica Minolta</v>
      </c>
      <c r="C119" s="41" t="str">
        <f>Lists!L119</f>
        <v>Not Offered</v>
      </c>
      <c r="D119" s="44" t="str">
        <f>Lists!M119</f>
        <v>SFP-BW</v>
      </c>
      <c r="E119" s="43" t="str">
        <f>Lists!N119</f>
        <v>Konica Minolta</v>
      </c>
      <c r="F119" s="44" t="str">
        <f>Lists!O119</f>
        <v>Medium</v>
      </c>
      <c r="G119" s="44">
        <v>2</v>
      </c>
      <c r="H119" s="163" t="str">
        <f>IF(C119="Not Offered","",VLOOKUP(C119,Data!$H:$BB,5,FALSE))</f>
        <v/>
      </c>
      <c r="I119" s="163" t="str">
        <f>IF(C119="Not Offered","",IF('Lowest TCO'!$B$3="Zone 1 (Perth Metro)",0,VLOOKUP($C119,Data!$H:$BG,43+(MATCH('Lowest TCO'!$B$3,Locations,0)),FALSE)))</f>
        <v/>
      </c>
      <c r="J119" s="35" t="str">
        <f>IF(C119="Not Offered","",VLOOKUP($C119,Data!$H:$AL,4+2*(MATCH('Lowest TCO'!$B$3,Locations,0)),FALSE))</f>
        <v/>
      </c>
      <c r="K119" s="35" t="str">
        <f>IF(C119="Not Offered","",VLOOKUP($C119,Data!$H:$AL,5+2*(MATCH('Lowest TCO'!$B$3,Locations,0)),FALSE))</f>
        <v/>
      </c>
      <c r="L119" s="164" t="str">
        <f>IF(H119="","",ROUNDUP(('Lowest TCO'!$D$3*5)/(VLOOKUP(tco_data!$C119,Data!$H:$J,3,FALSE)),0)*tco_data!$H119)</f>
        <v/>
      </c>
      <c r="M119" s="211" t="str">
        <f>IF(OR(H119="",J119="N/A"),"",(5*J119*('Lowest TCO'!$D$3*(IF(RIGHT(D119,2)="BW",1,1-'Lowest TCO'!$F$3)))))</f>
        <v/>
      </c>
      <c r="N119" s="211" t="str">
        <f>IF(OR(H119="",K119="N/A"),"",(5*K119*('Lowest TCO'!$D$3*('Lowest TCO'!$F$3))))</f>
        <v/>
      </c>
      <c r="O119" s="210" t="str">
        <f>IF(L119="","",IF(AND('Lowest TCO'!$H$3&lt;&gt;"All",'Lowest TCO'!$H$3&lt;&gt;tco_data!D119),"",IF(J119="N/A","",IF(AND(RIGHT($D119,2)="BW",'Lowest TCO'!$H$3=0),"",SUM(L119:N119)+I119))))</f>
        <v/>
      </c>
    </row>
    <row r="120" spans="1:15" ht="18" customHeight="1" x14ac:dyDescent="0.2">
      <c r="A120" s="209" t="str">
        <f>IF(O120="","",IF(AND(tco_data!D120&lt;&gt;'Lowest TCO'!H$3,'Lowest TCO'!H$3&lt;&gt;"All"),"",IF(ISNA(RANK(tco_data!O120,tco_data!O$2:O$129)),"",RANK(tco_data!O120,tco_data!O$2:O$129,1))))</f>
        <v/>
      </c>
      <c r="B120" s="161" t="str">
        <f t="shared" si="1"/>
        <v>SFP-BW Medium Kyocera</v>
      </c>
      <c r="C120" s="39" t="str">
        <f>Lists!L120</f>
        <v>Ecosys P2235dn</v>
      </c>
      <c r="D120" s="39" t="str">
        <f>Lists!M120</f>
        <v>SFP-BW</v>
      </c>
      <c r="E120" s="42" t="str">
        <f>Lists!N120</f>
        <v>Kyocera</v>
      </c>
      <c r="F120" s="39" t="str">
        <f>Lists!O120</f>
        <v>Medium</v>
      </c>
      <c r="G120" s="39">
        <v>1</v>
      </c>
      <c r="H120" s="159">
        <f>IF(C120="Not Offered","",VLOOKUP(C120,Data!$H:$BB,5,FALSE))</f>
        <v>188.1</v>
      </c>
      <c r="I120" s="159">
        <f>IF(C120="Not Offered","",IF('Lowest TCO'!$B$3="Zone 1 (Perth Metro)",0,VLOOKUP($C120,Data!$H:$BG,43+(MATCH('Lowest TCO'!$B$3,Locations,0)),FALSE)))</f>
        <v>44</v>
      </c>
      <c r="J120" s="28">
        <f>IF(C120="Not Offered","",VLOOKUP($C120,Data!$H:$AL,4+2*(MATCH('Lowest TCO'!$B$3,Locations,0)),FALSE))</f>
        <v>3.85E-2</v>
      </c>
      <c r="K120" s="28">
        <f>IF(C120="Not Offered","",VLOOKUP($C120,Data!$H:$AL,5+2*(MATCH('Lowest TCO'!$B$3,Locations,0)),FALSE))</f>
        <v>0</v>
      </c>
      <c r="L120" s="160">
        <f>IF(H120="","",ROUNDUP(('Lowest TCO'!$D$3*5)/(VLOOKUP(tco_data!$C120,Data!$H:$J,3,FALSE)),0)*tco_data!$H120)</f>
        <v>564.29999999999995</v>
      </c>
      <c r="M120" s="210">
        <f>IF(OR(H120="",J120="N/A"),"",(5*J120*('Lowest TCO'!$D$3*(IF(RIGHT(D120,2)="BW",1,1-'Lowest TCO'!$F$3)))))</f>
        <v>19250</v>
      </c>
      <c r="N120" s="210">
        <f>IF(OR(H120="",K120="N/A"),"",(5*K120*('Lowest TCO'!$D$3*('Lowest TCO'!$F$3))))</f>
        <v>0</v>
      </c>
      <c r="O120" s="210" t="str">
        <f>IF(L120="","",IF(AND('Lowest TCO'!$H$3&lt;&gt;"All",'Lowest TCO'!$H$3&lt;&gt;tco_data!D120),"",IF(J120="N/A","",IF(AND(RIGHT($D120,2)="BW",'Lowest TCO'!$H$3=0),"",SUM(L120:N120)+I120))))</f>
        <v/>
      </c>
    </row>
    <row r="121" spans="1:15" ht="18" customHeight="1" x14ac:dyDescent="0.2">
      <c r="A121" s="209" t="str">
        <f>IF(O121="","",IF(AND(tco_data!D121&lt;&gt;'Lowest TCO'!H$3,'Lowest TCO'!H$3&lt;&gt;"All"),"",IF(ISNA(RANK(tco_data!O121,tco_data!O$2:O$129)),"",RANK(tco_data!O121,tco_data!O$2:O$129,1))))</f>
        <v/>
      </c>
      <c r="B121" s="161" t="str">
        <f t="shared" si="1"/>
        <v>SFP-BW Medium Kyocera</v>
      </c>
      <c r="C121" s="39" t="str">
        <f>Lists!L121</f>
        <v>Ecosys P2235DW</v>
      </c>
      <c r="D121" s="39" t="str">
        <f>Lists!M121</f>
        <v>SFP-BW</v>
      </c>
      <c r="E121" s="42" t="str">
        <f>Lists!N121</f>
        <v>Kyocera</v>
      </c>
      <c r="F121" s="39" t="str">
        <f>Lists!O121</f>
        <v>Medium</v>
      </c>
      <c r="G121" s="39">
        <v>2</v>
      </c>
      <c r="H121" s="159">
        <f>IF(C121="Not Offered","",VLOOKUP(C121,Data!$H:$BB,5,FALSE))</f>
        <v>204.6</v>
      </c>
      <c r="I121" s="159">
        <f>IF(C121="Not Offered","",IF('Lowest TCO'!$B$3="Zone 1 (Perth Metro)",0,VLOOKUP($C121,Data!$H:$BG,43+(MATCH('Lowest TCO'!$B$3,Locations,0)),FALSE)))</f>
        <v>44</v>
      </c>
      <c r="J121" s="28">
        <f>IF(C121="Not Offered","",VLOOKUP($C121,Data!$H:$AL,4+2*(MATCH('Lowest TCO'!$B$3,Locations,0)),FALSE))</f>
        <v>6.8500000000000005E-2</v>
      </c>
      <c r="K121" s="28">
        <f>IF(C121="Not Offered","",VLOOKUP($C121,Data!$H:$AL,5+2*(MATCH('Lowest TCO'!$B$3,Locations,0)),FALSE))</f>
        <v>0</v>
      </c>
      <c r="L121" s="160">
        <f>IF(H121="","",ROUNDUP(('Lowest TCO'!$D$3*5)/(VLOOKUP(tco_data!$C121,Data!$H:$J,3,FALSE)),0)*tco_data!$H121)</f>
        <v>613.79999999999995</v>
      </c>
      <c r="M121" s="210">
        <f>IF(OR(H121="",J121="N/A"),"",(5*J121*('Lowest TCO'!$D$3*(IF(RIGHT(D121,2)="BW",1,1-'Lowest TCO'!$F$3)))))</f>
        <v>34250</v>
      </c>
      <c r="N121" s="210">
        <f>IF(OR(H121="",K121="N/A"),"",(5*K121*('Lowest TCO'!$D$3*('Lowest TCO'!$F$3))))</f>
        <v>0</v>
      </c>
      <c r="O121" s="210" t="str">
        <f>IF(L121="","",IF(AND('Lowest TCO'!$H$3&lt;&gt;"All",'Lowest TCO'!$H$3&lt;&gt;tco_data!D121),"",IF(J121="N/A","",IF(AND(RIGHT($D121,2)="BW",'Lowest TCO'!$H$3=0),"",SUM(L121:N121)+I121))))</f>
        <v/>
      </c>
    </row>
    <row r="122" spans="1:15" ht="18" customHeight="1" x14ac:dyDescent="0.2">
      <c r="A122" s="209" t="str">
        <f>IF(O122="","",IF(AND(tco_data!D122&lt;&gt;'Lowest TCO'!H$3,'Lowest TCO'!H$3&lt;&gt;"All"),"",IF(ISNA(RANK(tco_data!O122,tco_data!O$2:O$129)),"",RANK(tco_data!O122,tco_data!O$2:O$129,1))))</f>
        <v/>
      </c>
      <c r="B122" s="161" t="str">
        <f t="shared" si="1"/>
        <v>SFP-BW Medium Ricoh</v>
      </c>
      <c r="C122" s="39" t="str">
        <f>Lists!L122</f>
        <v>SP6430DN</v>
      </c>
      <c r="D122" s="39" t="str">
        <f>Lists!M122</f>
        <v>SFP-BW</v>
      </c>
      <c r="E122" s="42" t="str">
        <f>Lists!N122</f>
        <v>Ricoh</v>
      </c>
      <c r="F122" s="39" t="str">
        <f>Lists!O122</f>
        <v>Medium</v>
      </c>
      <c r="G122" s="39">
        <v>1</v>
      </c>
      <c r="H122" s="159">
        <f>IF(C122="Not Offered","",VLOOKUP(C122,Data!$H:$BB,5,FALSE))</f>
        <v>1111.9680000000001</v>
      </c>
      <c r="I122" s="159">
        <f>IF(C122="Not Offered","",IF('Lowest TCO'!$B$3="Zone 1 (Perth Metro)",0,VLOOKUP($C122,Data!$H:$BG,43+(MATCH('Lowest TCO'!$B$3,Locations,0)),FALSE)))</f>
        <v>487.96000000000004</v>
      </c>
      <c r="J122" s="28">
        <f>IF(C122="Not Offered","",VLOOKUP($C122,Data!$H:$AL,4+2*(MATCH('Lowest TCO'!$B$3,Locations,0)),FALSE))</f>
        <v>3.3000000000000002E-2</v>
      </c>
      <c r="K122" s="28">
        <f>IF(C122="Not Offered","",VLOOKUP($C122,Data!$H:$AL,5+2*(MATCH('Lowest TCO'!$B$3,Locations,0)),FALSE))</f>
        <v>0</v>
      </c>
      <c r="L122" s="160">
        <f>IF(H122="","",ROUNDUP(('Lowest TCO'!$D$3*5)/(VLOOKUP(tco_data!$C122,Data!$H:$J,3,FALSE)),0)*tco_data!$H122)</f>
        <v>1111.9680000000001</v>
      </c>
      <c r="M122" s="210">
        <f>IF(OR(H122="",J122="N/A"),"",(5*J122*('Lowest TCO'!$D$3*(IF(RIGHT(D122,2)="BW",1,1-'Lowest TCO'!$F$3)))))</f>
        <v>16500</v>
      </c>
      <c r="N122" s="210">
        <f>IF(OR(H122="",K122="N/A"),"",(5*K122*('Lowest TCO'!$D$3*('Lowest TCO'!$F$3))))</f>
        <v>0</v>
      </c>
      <c r="O122" s="210" t="str">
        <f>IF(L122="","",IF(AND('Lowest TCO'!$H$3&lt;&gt;"All",'Lowest TCO'!$H$3&lt;&gt;tco_data!D122),"",IF(J122="N/A","",IF(AND(RIGHT($D122,2)="BW",'Lowest TCO'!$H$3=0),"",SUM(L122:N122)+I122))))</f>
        <v/>
      </c>
    </row>
    <row r="123" spans="1:15" ht="18" customHeight="1" x14ac:dyDescent="0.2">
      <c r="A123" s="209" t="str">
        <f>IF(O123="","",IF(AND(tco_data!D123&lt;&gt;'Lowest TCO'!H$3,'Lowest TCO'!H$3&lt;&gt;"All"),"",IF(ISNA(RANK(tco_data!O123,tco_data!O$2:O$129)),"",RANK(tco_data!O123,tco_data!O$2:O$129,1))))</f>
        <v/>
      </c>
      <c r="B123" s="161" t="str">
        <f t="shared" si="1"/>
        <v>SFP-BW Medium Ricoh</v>
      </c>
      <c r="C123" s="39" t="str">
        <f>Lists!L123</f>
        <v>Not Offered</v>
      </c>
      <c r="D123" s="39" t="str">
        <f>Lists!M123</f>
        <v>SFP-BW</v>
      </c>
      <c r="E123" s="42" t="str">
        <f>Lists!N123</f>
        <v>Ricoh</v>
      </c>
      <c r="F123" s="39" t="str">
        <f>Lists!O123</f>
        <v>Medium</v>
      </c>
      <c r="G123" s="39">
        <v>2</v>
      </c>
      <c r="H123" s="159" t="str">
        <f>IF(C123="Not Offered","",VLOOKUP(C123,Data!$H:$BB,5,FALSE))</f>
        <v/>
      </c>
      <c r="I123" s="159" t="str">
        <f>IF(C123="Not Offered","",IF('Lowest TCO'!$B$3="Zone 1 (Perth Metro)",0,VLOOKUP($C123,Data!$H:$BG,43+(MATCH('Lowest TCO'!$B$3,Locations,0)),FALSE)))</f>
        <v/>
      </c>
      <c r="J123" s="28" t="str">
        <f>IF(C123="Not Offered","",VLOOKUP($C123,Data!$H:$AL,4+2*(MATCH('Lowest TCO'!$B$3,Locations,0)),FALSE))</f>
        <v/>
      </c>
      <c r="K123" s="28" t="str">
        <f>IF(C123="Not Offered","",VLOOKUP($C123,Data!$H:$AL,5+2*(MATCH('Lowest TCO'!$B$3,Locations,0)),FALSE))</f>
        <v/>
      </c>
      <c r="L123" s="160" t="str">
        <f>IF(H123="","",ROUNDUP(('Lowest TCO'!$D$3*5)/(VLOOKUP(tco_data!$C123,Data!$H:$J,3,FALSE)),0)*tco_data!$H123)</f>
        <v/>
      </c>
      <c r="M123" s="210" t="str">
        <f>IF(OR(H123="",J123="N/A"),"",(5*J123*('Lowest TCO'!$D$3*(IF(RIGHT(D123,2)="BW",1,1-'Lowest TCO'!$F$3)))))</f>
        <v/>
      </c>
      <c r="N123" s="210" t="str">
        <f>IF(OR(H123="",K123="N/A"),"",(5*K123*('Lowest TCO'!$D$3*('Lowest TCO'!$F$3))))</f>
        <v/>
      </c>
      <c r="O123" s="210" t="str">
        <f>IF(L123="","",IF(AND('Lowest TCO'!$H$3&lt;&gt;"All",'Lowest TCO'!$H$3&lt;&gt;tco_data!D123),"",IF(J123="N/A","",IF(AND(RIGHT($D123,2)="BW",'Lowest TCO'!$H$3=0),"",SUM(L123:N123)+I123))))</f>
        <v/>
      </c>
    </row>
    <row r="124" spans="1:15" ht="18" customHeight="1" x14ac:dyDescent="0.2">
      <c r="A124" s="209" t="str">
        <f>IF(O124="","",IF(AND(tco_data!D124&lt;&gt;'Lowest TCO'!H$3,'Lowest TCO'!H$3&lt;&gt;"All"),"",IF(ISNA(RANK(tco_data!O124,tco_data!O$2:O$129)),"",RANK(tco_data!O124,tco_data!O$2:O$129,1))))</f>
        <v/>
      </c>
      <c r="B124" s="161" t="str">
        <f t="shared" si="1"/>
        <v>SFP-BW High Konica Minolta</v>
      </c>
      <c r="C124" s="39" t="str">
        <f>Lists!L124</f>
        <v>bizhub 5000i</v>
      </c>
      <c r="D124" s="39" t="str">
        <f>Lists!M124</f>
        <v>SFP-BW</v>
      </c>
      <c r="E124" s="42" t="str">
        <f>Lists!N124</f>
        <v>Konica Minolta</v>
      </c>
      <c r="F124" s="39" t="str">
        <f>Lists!O124</f>
        <v>High</v>
      </c>
      <c r="G124" s="39">
        <v>1</v>
      </c>
      <c r="H124" s="159">
        <f>IF(C124="Not Offered","",VLOOKUP(C124,Data!$H:$BB,5,FALSE))</f>
        <v>676.77500000000009</v>
      </c>
      <c r="I124" s="159">
        <f>IF(C124="Not Offered","",IF('Lowest TCO'!$B$3="Zone 1 (Perth Metro)",0,VLOOKUP($C124,Data!$H:$BG,43+(MATCH('Lowest TCO'!$B$3,Locations,0)),FALSE)))</f>
        <v>847</v>
      </c>
      <c r="J124" s="28">
        <f>IF(C124="Not Offered","",VLOOKUP($C124,Data!$H:$AL,4+2*(MATCH('Lowest TCO'!$B$3,Locations,0)),FALSE))</f>
        <v>2.4199999999999999E-2</v>
      </c>
      <c r="K124" s="28">
        <f>IF(C124="Not Offered","",VLOOKUP($C124,Data!$H:$AL,5+2*(MATCH('Lowest TCO'!$B$3,Locations,0)),FALSE))</f>
        <v>0</v>
      </c>
      <c r="L124" s="160">
        <f>IF(H124="","",ROUNDUP(('Lowest TCO'!$D$3*5)/(VLOOKUP(tco_data!$C124,Data!$H:$J,3,FALSE)),0)*tco_data!$H124)</f>
        <v>676.77500000000009</v>
      </c>
      <c r="M124" s="210">
        <f>IF(OR(H124="",J124="N/A"),"",(5*J124*('Lowest TCO'!$D$3*(IF(RIGHT(D124,2)="BW",1,1-'Lowest TCO'!$F$3)))))</f>
        <v>12100</v>
      </c>
      <c r="N124" s="210">
        <f>IF(OR(H124="",K124="N/A"),"",(5*K124*('Lowest TCO'!$D$3*('Lowest TCO'!$F$3))))</f>
        <v>0</v>
      </c>
      <c r="O124" s="210" t="str">
        <f>IF(L124="","",IF(AND('Lowest TCO'!$H$3&lt;&gt;"All",'Lowest TCO'!$H$3&lt;&gt;tco_data!D124),"",IF(J124="N/A","",IF(AND(RIGHT($D124,2)="BW",'Lowest TCO'!$H$3=0),"",SUM(L124:N124)+I124))))</f>
        <v/>
      </c>
    </row>
    <row r="125" spans="1:15" ht="18" customHeight="1" x14ac:dyDescent="0.2">
      <c r="A125" s="209" t="str">
        <f>IF(O125="","",IF(AND(tco_data!D125&lt;&gt;'Lowest TCO'!H$3,'Lowest TCO'!H$3&lt;&gt;"All"),"",IF(ISNA(RANK(tco_data!O125,tco_data!O$2:O$129)),"",RANK(tco_data!O125,tco_data!O$2:O$129,1))))</f>
        <v/>
      </c>
      <c r="B125" s="161" t="str">
        <f>D125&amp;" "&amp;F125&amp;" "&amp;E125</f>
        <v>SFP-BW High Konica Minolta</v>
      </c>
      <c r="C125" s="39" t="str">
        <f>Lists!L125</f>
        <v>bizhub 4000i</v>
      </c>
      <c r="D125" s="39" t="s">
        <v>436</v>
      </c>
      <c r="E125" s="42" t="str">
        <f>Lists!N125</f>
        <v>Konica Minolta</v>
      </c>
      <c r="F125" s="39" t="str">
        <f>Lists!O125</f>
        <v>High</v>
      </c>
      <c r="G125" s="39">
        <v>2</v>
      </c>
      <c r="H125" s="159">
        <f>IF(C125="Not Offered","",VLOOKUP(C125,Data!$H:$BB,5,FALSE))</f>
        <v>400.18</v>
      </c>
      <c r="I125" s="159">
        <f>IF(C125="Not Offered","",IF('Lowest TCO'!$B$3="Zone 1 (Perth Metro)",0,VLOOKUP($C125,Data!$H:$BG,43+(MATCH('Lowest TCO'!$B$3,Locations,0)),FALSE)))</f>
        <v>814</v>
      </c>
      <c r="J125" s="28">
        <f>IF(C125="Not Offered","",VLOOKUP($C125,Data!$H:$AL,4+2*(MATCH('Lowest TCO'!$B$3,Locations,0)),FALSE))</f>
        <v>2.4199999999999999E-2</v>
      </c>
      <c r="K125" s="28">
        <f>IF(C125="Not Offered","",VLOOKUP($C125,Data!$H:$AL,5+2*(MATCH('Lowest TCO'!$B$3,Locations,0)),FALSE))</f>
        <v>0</v>
      </c>
      <c r="L125" s="160">
        <f>IF(H125="","",ROUNDUP(('Lowest TCO'!$D$3*5)/(VLOOKUP(tco_data!$C125,Data!$H:$J,3,FALSE)),0)*tco_data!$H125)</f>
        <v>1200.54</v>
      </c>
      <c r="M125" s="210">
        <f>IF(OR(H125="",J125="N/A"),"",(5*J125*('Lowest TCO'!$D$3*(IF(RIGHT(D125,2)="BW",1,1-'Lowest TCO'!$F$3)))))</f>
        <v>12100</v>
      </c>
      <c r="N125" s="210">
        <f>IF(OR(H125="",K125="N/A"),"",(5*K125*('Lowest TCO'!$D$3*('Lowest TCO'!$F$3))))</f>
        <v>0</v>
      </c>
      <c r="O125" s="210" t="str">
        <f>IF(L125="","",IF(AND('Lowest TCO'!$H$3&lt;&gt;"All",'Lowest TCO'!$H$3&lt;&gt;tco_data!D125),"",IF(J125="N/A","",IF(AND(RIGHT($D125,2)="BW",'Lowest TCO'!$H$3=0),"",SUM(L125:N125)+I125))))</f>
        <v/>
      </c>
    </row>
    <row r="126" spans="1:15" ht="18" customHeight="1" x14ac:dyDescent="0.2">
      <c r="A126" s="209" t="str">
        <f>IF(O126="","",IF(AND(tco_data!D126&lt;&gt;'Lowest TCO'!H$3,'Lowest TCO'!H$3&lt;&gt;"All"),"",IF(ISNA(RANK(tco_data!O126,tco_data!O$2:O$129)),"",RANK(tco_data!O126,tco_data!O$2:O$129,1))))</f>
        <v/>
      </c>
      <c r="B126" s="161" t="str">
        <f t="shared" si="1"/>
        <v>SFP-BW High Kyocera</v>
      </c>
      <c r="C126" s="39" t="str">
        <f>Lists!L126</f>
        <v>Ecosys P2040DN</v>
      </c>
      <c r="D126" s="39" t="str">
        <f>Lists!M126</f>
        <v>SFP-BW</v>
      </c>
      <c r="E126" s="42" t="str">
        <f>Lists!N126</f>
        <v>Kyocera</v>
      </c>
      <c r="F126" s="39" t="str">
        <f>Lists!O126</f>
        <v>High</v>
      </c>
      <c r="G126" s="39">
        <v>1</v>
      </c>
      <c r="H126" s="159">
        <f>IF(C126="Not Offered","",VLOOKUP(C126,Data!$H:$BB,5,FALSE))</f>
        <v>221.1</v>
      </c>
      <c r="I126" s="159">
        <f>IF(C126="Not Offered","",IF('Lowest TCO'!$B$3="Zone 1 (Perth Metro)",0,VLOOKUP($C126,Data!$H:$BG,43+(MATCH('Lowest TCO'!$B$3,Locations,0)),FALSE)))</f>
        <v>44</v>
      </c>
      <c r="J126" s="28">
        <f>IF(C126="Not Offered","",VLOOKUP($C126,Data!$H:$AL,4+2*(MATCH('Lowest TCO'!$B$3,Locations,0)),FALSE))</f>
        <v>2.1999999999999999E-2</v>
      </c>
      <c r="K126" s="28">
        <f>IF(C126="Not Offered","",VLOOKUP($C126,Data!$H:$AL,5+2*(MATCH('Lowest TCO'!$B$3,Locations,0)),FALSE))</f>
        <v>0</v>
      </c>
      <c r="L126" s="160">
        <f>IF(H126="","",ROUNDUP(('Lowest TCO'!$D$3*5)/(VLOOKUP(tco_data!$C126,Data!$H:$J,3,FALSE)),0)*tco_data!$H126)</f>
        <v>663.3</v>
      </c>
      <c r="M126" s="210">
        <f>IF(OR(H126="",J126="N/A"),"",(5*J126*('Lowest TCO'!$D$3*(IF(RIGHT(D126,2)="BW",1,1-'Lowest TCO'!$F$3)))))</f>
        <v>10999.999999999998</v>
      </c>
      <c r="N126" s="210">
        <f>IF(OR(H126="",K126="N/A"),"",(5*K126*('Lowest TCO'!$D$3*('Lowest TCO'!$F$3))))</f>
        <v>0</v>
      </c>
      <c r="O126" s="210" t="str">
        <f>IF(L126="","",IF(AND('Lowest TCO'!$H$3&lt;&gt;"All",'Lowest TCO'!$H$3&lt;&gt;tco_data!D126),"",IF(J126="N/A","",IF(AND(RIGHT($D126,2)="BW",'Lowest TCO'!$H$3=0),"",SUM(L126:N126)+I126))))</f>
        <v/>
      </c>
    </row>
    <row r="127" spans="1:15" ht="18" customHeight="1" x14ac:dyDescent="0.2">
      <c r="A127" s="209" t="str">
        <f>IF(O127="","",IF(AND(tco_data!D127&lt;&gt;'Lowest TCO'!H$3,'Lowest TCO'!H$3&lt;&gt;"All"),"",IF(ISNA(RANK(tco_data!O127,tco_data!O$2:O$129)),"",RANK(tco_data!O127,tco_data!O$2:O$129,1))))</f>
        <v/>
      </c>
      <c r="B127" s="161" t="str">
        <f t="shared" si="1"/>
        <v>SFP-BW High Kyocera</v>
      </c>
      <c r="C127" s="39" t="str">
        <f>Lists!L127</f>
        <v>Ecosys PA 4500X</v>
      </c>
      <c r="D127" s="39" t="str">
        <f>Lists!M127</f>
        <v>SFP-BW</v>
      </c>
      <c r="E127" s="42" t="str">
        <f>Lists!N127</f>
        <v>Kyocera</v>
      </c>
      <c r="F127" s="39" t="str">
        <f>Lists!O127</f>
        <v>High</v>
      </c>
      <c r="G127" s="39">
        <v>2</v>
      </c>
      <c r="H127" s="159">
        <f>IF(C127="Not Offered","",VLOOKUP(C127,Data!$H:$BB,5,FALSE))</f>
        <v>653.4</v>
      </c>
      <c r="I127" s="159">
        <f>IF(C127="Not Offered","",IF('Lowest TCO'!$B$3="Zone 1 (Perth Metro)",0,VLOOKUP($C127,Data!$H:$BG,43+(MATCH('Lowest TCO'!$B$3,Locations,0)),FALSE)))</f>
        <v>88</v>
      </c>
      <c r="J127" s="28">
        <f>IF(C127="Not Offered","",VLOOKUP($C127,Data!$H:$AL,4+2*(MATCH('Lowest TCO'!$B$3,Locations,0)),FALSE))</f>
        <v>1.7600000000000001E-2</v>
      </c>
      <c r="K127" s="28">
        <f>IF(C127="Not Offered","",VLOOKUP($C127,Data!$H:$AL,5+2*(MATCH('Lowest TCO'!$B$3,Locations,0)),FALSE))</f>
        <v>0</v>
      </c>
      <c r="L127" s="160">
        <f>IF(H127="","",ROUNDUP(('Lowest TCO'!$D$3*5)/(VLOOKUP(tco_data!$C127,Data!$H:$J,3,FALSE)),0)*tco_data!$H127)</f>
        <v>653.4</v>
      </c>
      <c r="M127" s="210">
        <f>IF(OR(H127="",J127="N/A"),"",(5*J127*('Lowest TCO'!$D$3*(IF(RIGHT(D127,2)="BW",1,1-'Lowest TCO'!$F$3)))))</f>
        <v>8800</v>
      </c>
      <c r="N127" s="210">
        <f>IF(OR(H127="",K127="N/A"),"",(5*K127*('Lowest TCO'!$D$3*('Lowest TCO'!$F$3))))</f>
        <v>0</v>
      </c>
      <c r="O127" s="210" t="str">
        <f>IF(L127="","",IF(AND('Lowest TCO'!$H$3&lt;&gt;"All",'Lowest TCO'!$H$3&lt;&gt;tco_data!D127),"",IF(J127="N/A","",IF(AND(RIGHT($D127,2)="BW",'Lowest TCO'!$H$3=0),"",SUM(L127:N127)+I127))))</f>
        <v/>
      </c>
    </row>
    <row r="128" spans="1:15" ht="18" customHeight="1" x14ac:dyDescent="0.2">
      <c r="A128" s="209" t="str">
        <f>IF(O128="","",IF(AND(tco_data!D128&lt;&gt;'Lowest TCO'!H$3,'Lowest TCO'!H$3&lt;&gt;"All"),"",IF(ISNA(RANK(tco_data!O128,tco_data!O$2:O$129)),"",RANK(tco_data!O128,tco_data!O$2:O$129,1))))</f>
        <v/>
      </c>
      <c r="B128" s="161" t="str">
        <f t="shared" si="1"/>
        <v>SFP-BW High Ricoh</v>
      </c>
      <c r="C128" s="39" t="str">
        <f>Lists!L128</f>
        <v>P 502</v>
      </c>
      <c r="D128" s="39" t="str">
        <f>Lists!M128</f>
        <v>SFP-BW</v>
      </c>
      <c r="E128" s="42" t="str">
        <f>Lists!N128</f>
        <v>Ricoh</v>
      </c>
      <c r="F128" s="39" t="str">
        <f>Lists!O128</f>
        <v>High</v>
      </c>
      <c r="G128" s="39">
        <v>1</v>
      </c>
      <c r="H128" s="159">
        <f>IF(C128="Not Offered","",VLOOKUP(C128,Data!$H:$BB,5,FALSE))</f>
        <v>1038.3120000000001</v>
      </c>
      <c r="I128" s="159">
        <f>IF(C128="Not Offered","",IF('Lowest TCO'!$B$3="Zone 1 (Perth Metro)",0,VLOOKUP($C128,Data!$H:$BG,43+(MATCH('Lowest TCO'!$B$3,Locations,0)),FALSE)))</f>
        <v>481.14</v>
      </c>
      <c r="J128" s="28">
        <f>IF(C128="Not Offered","",VLOOKUP($C128,Data!$H:$AL,4+2*(MATCH('Lowest TCO'!$B$3,Locations,0)),FALSE))</f>
        <v>3.3000000000000002E-2</v>
      </c>
      <c r="K128" s="28">
        <f>IF(C128="Not Offered","",VLOOKUP($C128,Data!$H:$AL,5+2*(MATCH('Lowest TCO'!$B$3,Locations,0)),FALSE))</f>
        <v>0</v>
      </c>
      <c r="L128" s="160">
        <f>IF(H128="","",ROUNDUP(('Lowest TCO'!$D$3*5)/(VLOOKUP(tco_data!$C128,Data!$H:$J,3,FALSE)),0)*tco_data!$H128)</f>
        <v>1038.3120000000001</v>
      </c>
      <c r="M128" s="210">
        <f>IF(OR(H128="",J128="N/A"),"",(5*J128*('Lowest TCO'!$D$3*(IF(RIGHT(D128,2)="BW",1,1-'Lowest TCO'!$F$3)))))</f>
        <v>16500</v>
      </c>
      <c r="N128" s="210">
        <f>IF(OR(H128="",K128="N/A"),"",(5*K128*('Lowest TCO'!$D$3*('Lowest TCO'!$F$3))))</f>
        <v>0</v>
      </c>
      <c r="O128" s="210" t="str">
        <f>IF(L128="","",IF(AND('Lowest TCO'!$H$3&lt;&gt;"All",'Lowest TCO'!$H$3&lt;&gt;tco_data!D128),"",IF(J128="N/A","",IF(AND(RIGHT($D128,2)="BW",'Lowest TCO'!$H$3=0),"",SUM(L128:N128)+I128))))</f>
        <v/>
      </c>
    </row>
    <row r="129" spans="1:15" ht="18" customHeight="1" x14ac:dyDescent="0.2">
      <c r="A129" s="209" t="str">
        <f>IF(O129="","",IF(AND(tco_data!D129&lt;&gt;'Lowest TCO'!H$3,'Lowest TCO'!H$3&lt;&gt;"All"),"",IF(ISNA(RANK(tco_data!O129,tco_data!O$2:O$129)),"",RANK(tco_data!O129,tco_data!O$2:O$129,1))))</f>
        <v/>
      </c>
      <c r="B129" s="161" t="str">
        <f t="shared" si="1"/>
        <v>SFP-BW High Ricoh</v>
      </c>
      <c r="C129" s="39" t="str">
        <f>Lists!L129</f>
        <v>P 800</v>
      </c>
      <c r="D129" s="39" t="str">
        <f>Lists!M129</f>
        <v>SFP-BW</v>
      </c>
      <c r="E129" s="42" t="str">
        <f>Lists!N129</f>
        <v>Ricoh</v>
      </c>
      <c r="F129" s="39" t="str">
        <f>Lists!O129</f>
        <v>High</v>
      </c>
      <c r="G129" s="39">
        <v>2</v>
      </c>
      <c r="H129" s="159">
        <f>IF(C129="Not Offered","",VLOOKUP(C129,Data!$H:$BB,5,FALSE))</f>
        <v>1050.1920000000002</v>
      </c>
      <c r="I129" s="159">
        <f>IF(C129="Not Offered","",IF('Lowest TCO'!$B$3="Zone 1 (Perth Metro)",0,VLOOKUP($C129,Data!$H:$BG,43+(MATCH('Lowest TCO'!$B$3,Locations,0)),FALSE)))</f>
        <v>482.24000000000007</v>
      </c>
      <c r="J129" s="28">
        <f>IF(C129="Not Offered","",VLOOKUP($C129,Data!$H:$AL,4+2*(MATCH('Lowest TCO'!$B$3,Locations,0)),FALSE))</f>
        <v>3.3000000000000002E-2</v>
      </c>
      <c r="K129" s="28">
        <f>IF(C129="Not Offered","",VLOOKUP($C129,Data!$H:$AL,5+2*(MATCH('Lowest TCO'!$B$3,Locations,0)),FALSE))</f>
        <v>0</v>
      </c>
      <c r="L129" s="160">
        <f>IF(H129="","",ROUNDUP(('Lowest TCO'!$D$3*5)/(VLOOKUP(tco_data!$C129,Data!$H:$J,3,FALSE)),0)*tco_data!$H129)</f>
        <v>1050.1920000000002</v>
      </c>
      <c r="M129" s="210">
        <f>IF(OR(H129="",J129="N/A"),"",(5*J129*('Lowest TCO'!$D$3*(IF(RIGHT(D129,2)="BW",1,1-'Lowest TCO'!$F$3)))))</f>
        <v>16500</v>
      </c>
      <c r="N129" s="210">
        <f>IF(OR(H129="",K129="N/A"),"",(5*K129*('Lowest TCO'!$D$3*('Lowest TCO'!$F$3))))</f>
        <v>0</v>
      </c>
      <c r="O129" s="210" t="str">
        <f>IF(L129="","",IF(AND('Lowest TCO'!$H$3&lt;&gt;"All",'Lowest TCO'!$H$3&lt;&gt;tco_data!D129),"",IF(J129="N/A","",IF(AND(RIGHT($D129,2)="BW",'Lowest TCO'!$H$3=0),"",SUM(L129:N129)+I129))))</f>
        <v/>
      </c>
    </row>
  </sheetData>
  <autoFilter ref="A1:O129" xr:uid="{00000000-0009-0000-0000-00000E00000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9" tint="0.39997558519241921"/>
  </sheetPr>
  <dimension ref="A1:DZ129"/>
  <sheetViews>
    <sheetView zoomScaleNormal="100" workbookViewId="0">
      <pane ySplit="1" topLeftCell="A76" activePane="bottomLeft" state="frozen"/>
      <selection activeCell="G88" sqref="G88"/>
      <selection pane="bottomLeft" activeCell="U2" sqref="U1:W2"/>
    </sheetView>
  </sheetViews>
  <sheetFormatPr defaultColWidth="9.140625" defaultRowHeight="12.75" x14ac:dyDescent="0.2"/>
  <cols>
    <col min="1" max="1" width="26.7109375" style="15" customWidth="1"/>
    <col min="2" max="2" width="17.42578125" style="15" customWidth="1"/>
    <col min="3" max="3" width="13.5703125" style="15" customWidth="1"/>
    <col min="4" max="5" width="9.140625" style="17"/>
    <col min="6" max="6" width="20.5703125" style="15" customWidth="1"/>
    <col min="7" max="7" width="15.140625" style="17" customWidth="1"/>
    <col min="8" max="8" width="23.7109375" style="17" customWidth="1"/>
    <col min="9" max="9" width="9.140625" style="17" customWidth="1"/>
    <col min="10" max="10" width="14.28515625" style="291" customWidth="1"/>
    <col min="11" max="11" width="15.85546875" style="291" customWidth="1"/>
    <col min="12" max="12" width="14.85546875" style="289" customWidth="1"/>
    <col min="13" max="13" width="9.140625" style="295"/>
    <col min="14" max="17" width="9.140625" style="15"/>
    <col min="18" max="18" width="11" style="15" customWidth="1"/>
    <col min="19" max="42" width="9.140625" style="15"/>
    <col min="43" max="43" width="9.140625" style="75" customWidth="1"/>
    <col min="44" max="44" width="15" style="15" customWidth="1"/>
    <col min="45" max="45" width="11.42578125" style="15" customWidth="1"/>
    <col min="46" max="59" width="9.140625" style="15"/>
    <col min="60" max="60" width="13.5703125" style="15" customWidth="1"/>
    <col min="61" max="99" width="9.140625" style="15"/>
    <col min="100" max="101" width="9.140625" style="37"/>
    <col min="102" max="102" width="9.140625" style="17"/>
    <col min="103" max="16384" width="9.140625" style="15"/>
  </cols>
  <sheetData>
    <row r="1" spans="1:103" ht="24" customHeight="1" x14ac:dyDescent="0.2">
      <c r="A1" s="23" t="s">
        <v>331</v>
      </c>
      <c r="B1" s="23" t="s">
        <v>4</v>
      </c>
      <c r="C1" s="23" t="s">
        <v>42</v>
      </c>
      <c r="D1" s="24" t="s">
        <v>41</v>
      </c>
      <c r="E1" s="24" t="s">
        <v>332</v>
      </c>
      <c r="F1" s="23" t="s">
        <v>333</v>
      </c>
      <c r="G1" s="24" t="s">
        <v>1831</v>
      </c>
      <c r="H1" s="24" t="s">
        <v>334</v>
      </c>
      <c r="I1" s="24" t="s">
        <v>1792</v>
      </c>
      <c r="J1" s="290" t="s">
        <v>335</v>
      </c>
      <c r="K1" s="290" t="s">
        <v>336</v>
      </c>
      <c r="L1" s="286" t="s">
        <v>337</v>
      </c>
      <c r="M1" s="292" t="s">
        <v>338</v>
      </c>
      <c r="N1" s="23" t="s">
        <v>339</v>
      </c>
      <c r="O1" s="23" t="s">
        <v>340</v>
      </c>
      <c r="P1" s="23" t="s">
        <v>341</v>
      </c>
      <c r="Q1" s="23" t="s">
        <v>342</v>
      </c>
      <c r="R1" s="23" t="s">
        <v>343</v>
      </c>
      <c r="S1" s="23" t="s">
        <v>344</v>
      </c>
      <c r="T1" s="23" t="s">
        <v>345</v>
      </c>
      <c r="U1" s="23" t="s">
        <v>346</v>
      </c>
      <c r="V1" s="23" t="s">
        <v>347</v>
      </c>
      <c r="W1" s="23" t="s">
        <v>348</v>
      </c>
      <c r="X1" s="23" t="s">
        <v>349</v>
      </c>
      <c r="Y1" s="23" t="s">
        <v>350</v>
      </c>
      <c r="Z1" s="23" t="s">
        <v>351</v>
      </c>
      <c r="AA1" s="23" t="s">
        <v>352</v>
      </c>
      <c r="AB1" s="23" t="s">
        <v>353</v>
      </c>
      <c r="AC1" s="23" t="s">
        <v>354</v>
      </c>
      <c r="AD1" s="23" t="s">
        <v>355</v>
      </c>
      <c r="AE1" s="23" t="s">
        <v>356</v>
      </c>
      <c r="AF1" s="23" t="s">
        <v>357</v>
      </c>
      <c r="AG1" s="23" t="s">
        <v>358</v>
      </c>
      <c r="AH1" s="23" t="s">
        <v>359</v>
      </c>
      <c r="AI1" s="23" t="s">
        <v>360</v>
      </c>
      <c r="AJ1" s="23" t="s">
        <v>361</v>
      </c>
      <c r="AK1" s="23" t="s">
        <v>362</v>
      </c>
      <c r="AL1" s="23" t="s">
        <v>363</v>
      </c>
      <c r="AM1" s="23" t="s">
        <v>412</v>
      </c>
      <c r="AN1" s="23" t="s">
        <v>413</v>
      </c>
      <c r="AO1" s="23" t="s">
        <v>364</v>
      </c>
      <c r="AP1" s="23" t="s">
        <v>365</v>
      </c>
      <c r="AQ1" s="74" t="s">
        <v>366</v>
      </c>
      <c r="AR1" s="23" t="s">
        <v>367</v>
      </c>
      <c r="AS1" s="23" t="s">
        <v>368</v>
      </c>
      <c r="AT1" s="23" t="s">
        <v>369</v>
      </c>
      <c r="AU1" s="23" t="s">
        <v>370</v>
      </c>
      <c r="AV1" s="23" t="s">
        <v>371</v>
      </c>
      <c r="AW1" s="23" t="s">
        <v>372</v>
      </c>
      <c r="AX1" s="23" t="s">
        <v>414</v>
      </c>
      <c r="AY1" s="23" t="s">
        <v>373</v>
      </c>
      <c r="AZ1" s="23" t="s">
        <v>374</v>
      </c>
      <c r="BA1" s="23" t="s">
        <v>375</v>
      </c>
      <c r="BB1" s="23" t="s">
        <v>376</v>
      </c>
      <c r="BC1" s="23" t="s">
        <v>377</v>
      </c>
      <c r="BD1" s="23" t="s">
        <v>378</v>
      </c>
      <c r="BE1" s="23" t="s">
        <v>379</v>
      </c>
      <c r="BF1" s="23" t="s">
        <v>380</v>
      </c>
      <c r="BG1" s="23" t="s">
        <v>381</v>
      </c>
      <c r="BH1" s="23" t="s">
        <v>382</v>
      </c>
      <c r="BI1" s="23" t="s">
        <v>383</v>
      </c>
      <c r="BJ1" s="23" t="s">
        <v>384</v>
      </c>
      <c r="BK1" s="23" t="s">
        <v>385</v>
      </c>
      <c r="BL1" s="23" t="s">
        <v>386</v>
      </c>
      <c r="BM1" s="23" t="s">
        <v>415</v>
      </c>
      <c r="BN1" s="23" t="s">
        <v>387</v>
      </c>
      <c r="BO1" s="23" t="s">
        <v>388</v>
      </c>
      <c r="BP1" s="23" t="s">
        <v>389</v>
      </c>
      <c r="BQ1" s="23" t="s">
        <v>1748</v>
      </c>
      <c r="BR1" s="23" t="s">
        <v>390</v>
      </c>
      <c r="BS1" s="23" t="s">
        <v>391</v>
      </c>
      <c r="BT1" s="23" t="s">
        <v>416</v>
      </c>
      <c r="BU1" s="23" t="s">
        <v>392</v>
      </c>
      <c r="BV1" s="23" t="s">
        <v>393</v>
      </c>
      <c r="BW1" s="23" t="s">
        <v>394</v>
      </c>
      <c r="BX1" s="23" t="s">
        <v>395</v>
      </c>
      <c r="BY1" s="23" t="s">
        <v>396</v>
      </c>
      <c r="BZ1" s="23" t="s">
        <v>397</v>
      </c>
      <c r="CA1" s="23" t="s">
        <v>417</v>
      </c>
      <c r="CB1" s="23" t="s">
        <v>418</v>
      </c>
      <c r="CC1" s="23" t="s">
        <v>419</v>
      </c>
      <c r="CD1" s="23" t="s">
        <v>420</v>
      </c>
      <c r="CE1" s="23" t="s">
        <v>421</v>
      </c>
      <c r="CF1" s="25" t="s">
        <v>398</v>
      </c>
      <c r="CG1" s="25" t="s">
        <v>399</v>
      </c>
      <c r="CH1" s="25" t="s">
        <v>422</v>
      </c>
      <c r="CI1" s="25" t="s">
        <v>1749</v>
      </c>
      <c r="CJ1" s="25" t="s">
        <v>423</v>
      </c>
      <c r="CK1" s="25" t="s">
        <v>424</v>
      </c>
      <c r="CL1" s="25" t="s">
        <v>1750</v>
      </c>
      <c r="CM1" s="25" t="s">
        <v>425</v>
      </c>
      <c r="CN1" s="25" t="s">
        <v>400</v>
      </c>
      <c r="CO1" s="25" t="s">
        <v>401</v>
      </c>
      <c r="CP1" s="25" t="s">
        <v>426</v>
      </c>
      <c r="CQ1" s="25" t="s">
        <v>427</v>
      </c>
      <c r="CR1" s="25" t="s">
        <v>428</v>
      </c>
      <c r="CS1" s="25" t="s">
        <v>429</v>
      </c>
      <c r="CT1" s="25" t="s">
        <v>430</v>
      </c>
      <c r="CU1" s="25" t="s">
        <v>431</v>
      </c>
      <c r="CV1" s="24" t="s">
        <v>921</v>
      </c>
      <c r="CW1" s="24" t="s">
        <v>922</v>
      </c>
      <c r="CX1" s="24" t="s">
        <v>924</v>
      </c>
      <c r="CY1" s="24" t="s">
        <v>1815</v>
      </c>
    </row>
    <row r="2" spans="1:103" ht="20.100000000000001" customHeight="1" x14ac:dyDescent="0.2">
      <c r="A2" s="26" t="s">
        <v>2337</v>
      </c>
      <c r="B2" s="26" t="s">
        <v>402</v>
      </c>
      <c r="C2" s="27" t="s">
        <v>2013</v>
      </c>
      <c r="D2" s="184" t="s">
        <v>403</v>
      </c>
      <c r="E2" s="184">
        <v>1</v>
      </c>
      <c r="F2" s="27" t="s">
        <v>154</v>
      </c>
      <c r="G2" s="200" t="s">
        <v>2067</v>
      </c>
      <c r="H2" s="200" t="s">
        <v>2068</v>
      </c>
      <c r="I2" s="200">
        <v>31</v>
      </c>
      <c r="J2" s="201">
        <v>100000</v>
      </c>
      <c r="K2" s="201">
        <v>129000</v>
      </c>
      <c r="L2" s="287">
        <v>1076.9000000000001</v>
      </c>
      <c r="M2" s="293">
        <v>1.32E-2</v>
      </c>
      <c r="N2" s="236">
        <v>9.9000000000000005E-2</v>
      </c>
      <c r="O2" s="236">
        <v>1.32E-2</v>
      </c>
      <c r="P2" s="236">
        <v>9.9000000000000005E-2</v>
      </c>
      <c r="Q2" s="236">
        <v>1.32E-2</v>
      </c>
      <c r="R2" s="236">
        <v>9.9000000000000005E-2</v>
      </c>
      <c r="S2" s="236">
        <v>1.32E-2</v>
      </c>
      <c r="T2" s="236">
        <v>9.9000000000000005E-2</v>
      </c>
      <c r="U2" s="236">
        <v>1.32E-2</v>
      </c>
      <c r="V2" s="236">
        <v>9.9000000000000005E-2</v>
      </c>
      <c r="W2" s="236">
        <v>1.32E-2</v>
      </c>
      <c r="X2" s="236">
        <v>9.9000000000000005E-2</v>
      </c>
      <c r="Y2" s="236">
        <v>1.32E-2</v>
      </c>
      <c r="Z2" s="236">
        <v>9.9000000000000005E-2</v>
      </c>
      <c r="AA2" s="236">
        <v>1.32E-2</v>
      </c>
      <c r="AB2" s="236">
        <v>9.9000000000000005E-2</v>
      </c>
      <c r="AC2" s="236">
        <v>1.32E-2</v>
      </c>
      <c r="AD2" s="236">
        <v>9.9000000000000005E-2</v>
      </c>
      <c r="AE2" s="236">
        <v>1.32E-2</v>
      </c>
      <c r="AF2" s="236">
        <v>9.9000000000000005E-2</v>
      </c>
      <c r="AG2" s="236">
        <v>1.32E-2</v>
      </c>
      <c r="AH2" s="236">
        <v>9.9000000000000005E-2</v>
      </c>
      <c r="AI2" s="236">
        <v>1.32E-2</v>
      </c>
      <c r="AJ2" s="236">
        <v>9.9000000000000005E-2</v>
      </c>
      <c r="AK2" s="236">
        <v>1.32E-2</v>
      </c>
      <c r="AL2" s="236">
        <v>9.9000000000000005E-2</v>
      </c>
      <c r="AM2" s="207" t="s">
        <v>2069</v>
      </c>
      <c r="AN2" s="207" t="s">
        <v>2070</v>
      </c>
      <c r="AO2" s="237" t="s">
        <v>941</v>
      </c>
      <c r="AP2" s="237" t="s">
        <v>941</v>
      </c>
      <c r="AQ2" s="239">
        <v>50000</v>
      </c>
      <c r="AR2" s="237">
        <v>0</v>
      </c>
      <c r="AS2" s="208" t="s">
        <v>0</v>
      </c>
      <c r="AT2" s="237">
        <v>0</v>
      </c>
      <c r="AU2" s="207" t="s">
        <v>0</v>
      </c>
      <c r="AV2" s="239" t="s">
        <v>0</v>
      </c>
      <c r="AW2" s="237">
        <v>0</v>
      </c>
      <c r="AX2" s="208" t="s">
        <v>2071</v>
      </c>
      <c r="AY2" s="237" t="s">
        <v>941</v>
      </c>
      <c r="AZ2" s="208">
        <v>220</v>
      </c>
      <c r="BA2" s="208">
        <v>330</v>
      </c>
      <c r="BB2" s="208">
        <v>220</v>
      </c>
      <c r="BC2" s="208">
        <v>220</v>
      </c>
      <c r="BD2" s="208">
        <v>220</v>
      </c>
      <c r="BE2" s="208">
        <v>220</v>
      </c>
      <c r="BF2" s="208">
        <v>220</v>
      </c>
      <c r="BG2" s="208">
        <v>220</v>
      </c>
      <c r="BH2" s="208">
        <v>220</v>
      </c>
      <c r="BI2" s="208">
        <v>220</v>
      </c>
      <c r="BJ2" s="208">
        <v>220</v>
      </c>
      <c r="BK2" s="208">
        <v>220</v>
      </c>
      <c r="BL2" s="207" t="s">
        <v>165</v>
      </c>
      <c r="BM2" s="207" t="s">
        <v>2072</v>
      </c>
      <c r="BN2" s="207" t="s">
        <v>2073</v>
      </c>
      <c r="BO2" s="207" t="s">
        <v>2074</v>
      </c>
      <c r="BP2" s="207">
        <v>100000</v>
      </c>
      <c r="BQ2" s="207" t="s">
        <v>2075</v>
      </c>
      <c r="BR2" s="207" t="s">
        <v>193</v>
      </c>
      <c r="BS2" s="207" t="s">
        <v>136</v>
      </c>
      <c r="BT2" s="207" t="s">
        <v>2</v>
      </c>
      <c r="BU2" s="207" t="s">
        <v>200</v>
      </c>
      <c r="BV2" s="207" t="s">
        <v>202</v>
      </c>
      <c r="BW2" s="207" t="s">
        <v>205</v>
      </c>
      <c r="BX2" s="239" t="s">
        <v>210</v>
      </c>
      <c r="BY2" s="207" t="s">
        <v>122</v>
      </c>
      <c r="BZ2" s="207" t="s">
        <v>122</v>
      </c>
      <c r="CA2" s="207" t="s">
        <v>2</v>
      </c>
      <c r="CB2" s="207" t="s">
        <v>2</v>
      </c>
      <c r="CC2" s="207" t="s">
        <v>2</v>
      </c>
      <c r="CD2" s="207" t="s">
        <v>3</v>
      </c>
      <c r="CE2" s="207" t="s">
        <v>1751</v>
      </c>
      <c r="CF2" s="207" t="s">
        <v>2076</v>
      </c>
      <c r="CG2" s="207" t="s">
        <v>216</v>
      </c>
      <c r="CH2" s="207" t="s">
        <v>2077</v>
      </c>
      <c r="CI2" s="207" t="s">
        <v>2</v>
      </c>
      <c r="CJ2" s="207" t="s">
        <v>2</v>
      </c>
      <c r="CK2" s="239">
        <v>250</v>
      </c>
      <c r="CL2" s="207" t="s">
        <v>2</v>
      </c>
      <c r="CM2" s="207" t="s">
        <v>2</v>
      </c>
      <c r="CN2" s="207" t="s">
        <v>218</v>
      </c>
      <c r="CO2" s="207" t="s">
        <v>2078</v>
      </c>
      <c r="CP2" s="207" t="s">
        <v>2079</v>
      </c>
      <c r="CQ2" s="207" t="s">
        <v>2080</v>
      </c>
      <c r="CR2" s="207" t="s">
        <v>2081</v>
      </c>
      <c r="CS2" s="207" t="s">
        <v>2</v>
      </c>
      <c r="CT2" s="207" t="s">
        <v>224</v>
      </c>
      <c r="CU2" s="25">
        <v>0</v>
      </c>
      <c r="CV2" s="200" t="str">
        <f t="shared" ref="CV2:CV33" si="0">G2</f>
        <v>AC325z</v>
      </c>
      <c r="CW2" s="199" t="str">
        <f t="shared" ref="CW2:CW33" si="1">C2</f>
        <v>Fujifilm Business Innovation</v>
      </c>
      <c r="CX2" s="199" t="str">
        <f>IF(Data!D2="E","Entry",IF(Data!D2="L","Low",IF(Data!D2="M","Medium","High")))</f>
        <v>Entry</v>
      </c>
      <c r="CY2" s="206" t="str">
        <f t="shared" ref="CY2:CY33" si="2">A2&amp;IF(H2="Not Offered","N","Y")</f>
        <v>MFD-Colour_FBI_E_1Y</v>
      </c>
    </row>
    <row r="3" spans="1:103" ht="20.100000000000001" customHeight="1" x14ac:dyDescent="0.2">
      <c r="A3" s="25" t="s">
        <v>2338</v>
      </c>
      <c r="B3" s="25" t="s">
        <v>402</v>
      </c>
      <c r="C3" s="200" t="s">
        <v>2013</v>
      </c>
      <c r="D3" s="203" t="s">
        <v>403</v>
      </c>
      <c r="E3" s="203">
        <v>2</v>
      </c>
      <c r="F3" s="200" t="s">
        <v>154</v>
      </c>
      <c r="G3" s="200" t="s">
        <v>1839</v>
      </c>
      <c r="H3" s="200" t="s">
        <v>2339</v>
      </c>
      <c r="I3" s="200">
        <v>20</v>
      </c>
      <c r="J3" s="201">
        <v>1200000</v>
      </c>
      <c r="K3" s="201">
        <v>87000</v>
      </c>
      <c r="L3" s="287">
        <v>3095.4</v>
      </c>
      <c r="M3" s="298">
        <v>5.9344999999999997E-3</v>
      </c>
      <c r="N3" s="236">
        <v>5.9345000000000002E-2</v>
      </c>
      <c r="O3" s="236">
        <v>9.3500000000000007E-3</v>
      </c>
      <c r="P3" s="236">
        <v>9.2971999999999999E-2</v>
      </c>
      <c r="Q3" s="236">
        <v>1.2474000000000002E-2</v>
      </c>
      <c r="R3" s="236">
        <v>0.12485000000000002</v>
      </c>
      <c r="S3" s="236">
        <v>9.3500000000000007E-3</v>
      </c>
      <c r="T3" s="236">
        <v>9.2971999999999999E-2</v>
      </c>
      <c r="U3" s="236">
        <v>9.3500000000000007E-3</v>
      </c>
      <c r="V3" s="236">
        <v>9.2971999999999999E-2</v>
      </c>
      <c r="W3" s="236">
        <v>9.3500000000000007E-3</v>
      </c>
      <c r="X3" s="236">
        <v>9.2971999999999999E-2</v>
      </c>
      <c r="Y3" s="236">
        <v>9.3500000000000007E-3</v>
      </c>
      <c r="Z3" s="236">
        <v>9.2971999999999999E-2</v>
      </c>
      <c r="AA3" s="236">
        <v>9.3500000000000007E-3</v>
      </c>
      <c r="AB3" s="236">
        <v>9.2971999999999999E-2</v>
      </c>
      <c r="AC3" s="236">
        <v>9.3500000000000007E-3</v>
      </c>
      <c r="AD3" s="236">
        <v>9.2971999999999999E-2</v>
      </c>
      <c r="AE3" s="236">
        <v>9.3500000000000007E-3</v>
      </c>
      <c r="AF3" s="236">
        <v>9.2971999999999999E-2</v>
      </c>
      <c r="AG3" s="236">
        <v>9.3500000000000007E-3</v>
      </c>
      <c r="AH3" s="236">
        <v>9.2971999999999999E-2</v>
      </c>
      <c r="AI3" s="236">
        <v>9.3500000000000007E-3</v>
      </c>
      <c r="AJ3" s="236">
        <v>9.2971999999999999E-2</v>
      </c>
      <c r="AK3" s="236">
        <v>9.3500000000000007E-3</v>
      </c>
      <c r="AL3" s="236">
        <v>9.2971999999999999E-2</v>
      </c>
      <c r="AM3" s="207" t="s">
        <v>1840</v>
      </c>
      <c r="AN3" s="207" t="s">
        <v>1841</v>
      </c>
      <c r="AO3" s="237" t="s">
        <v>941</v>
      </c>
      <c r="AP3" s="237" t="s">
        <v>941</v>
      </c>
      <c r="AQ3" s="208" t="s">
        <v>1842</v>
      </c>
      <c r="AR3" s="237">
        <v>0</v>
      </c>
      <c r="AS3" s="208" t="s">
        <v>0</v>
      </c>
      <c r="AT3" s="237">
        <v>0</v>
      </c>
      <c r="AU3" s="207" t="s">
        <v>161</v>
      </c>
      <c r="AV3" s="239">
        <v>5000</v>
      </c>
      <c r="AW3" s="237">
        <v>127.91</v>
      </c>
      <c r="AX3" s="208" t="s">
        <v>1843</v>
      </c>
      <c r="AY3" s="237" t="s">
        <v>941</v>
      </c>
      <c r="AZ3" s="208">
        <v>385</v>
      </c>
      <c r="BA3" s="208">
        <v>460</v>
      </c>
      <c r="BB3" s="208">
        <v>385</v>
      </c>
      <c r="BC3" s="208">
        <v>385</v>
      </c>
      <c r="BD3" s="208">
        <v>385</v>
      </c>
      <c r="BE3" s="208">
        <v>385</v>
      </c>
      <c r="BF3" s="208">
        <v>385</v>
      </c>
      <c r="BG3" s="208">
        <v>385</v>
      </c>
      <c r="BH3" s="208">
        <v>385</v>
      </c>
      <c r="BI3" s="208">
        <v>385</v>
      </c>
      <c r="BJ3" s="208">
        <v>385</v>
      </c>
      <c r="BK3" s="208">
        <v>385</v>
      </c>
      <c r="BL3" s="207" t="s">
        <v>1844</v>
      </c>
      <c r="BM3" s="207" t="s">
        <v>1845</v>
      </c>
      <c r="BN3" s="207" t="s">
        <v>1846</v>
      </c>
      <c r="BO3" s="207" t="s">
        <v>176</v>
      </c>
      <c r="BP3" s="207" t="s">
        <v>185</v>
      </c>
      <c r="BQ3" s="207" t="s">
        <v>1847</v>
      </c>
      <c r="BR3" s="207" t="s">
        <v>194</v>
      </c>
      <c r="BS3" s="207" t="s">
        <v>198</v>
      </c>
      <c r="BT3" s="207" t="s">
        <v>2</v>
      </c>
      <c r="BU3" s="207" t="s">
        <v>1848</v>
      </c>
      <c r="BV3" s="207" t="s">
        <v>1849</v>
      </c>
      <c r="BW3" s="207" t="s">
        <v>1850</v>
      </c>
      <c r="BX3" s="239" t="s">
        <v>492</v>
      </c>
      <c r="BY3" s="207" t="s">
        <v>1851</v>
      </c>
      <c r="BZ3" s="207">
        <v>110</v>
      </c>
      <c r="CA3" s="207" t="s">
        <v>2</v>
      </c>
      <c r="CB3" s="207" t="s">
        <v>2</v>
      </c>
      <c r="CC3" s="207" t="s">
        <v>2</v>
      </c>
      <c r="CD3" s="207" t="s">
        <v>2</v>
      </c>
      <c r="CE3" s="207" t="s">
        <v>1752</v>
      </c>
      <c r="CF3" s="207" t="s">
        <v>1852</v>
      </c>
      <c r="CG3" s="207" t="s">
        <v>216</v>
      </c>
      <c r="CH3" s="207" t="s">
        <v>1853</v>
      </c>
      <c r="CI3" s="207" t="s">
        <v>2</v>
      </c>
      <c r="CJ3" s="207" t="s">
        <v>2</v>
      </c>
      <c r="CK3" s="239">
        <v>2000</v>
      </c>
      <c r="CL3" s="207" t="s">
        <v>2</v>
      </c>
      <c r="CM3" s="207" t="s">
        <v>2</v>
      </c>
      <c r="CN3" s="207" t="s">
        <v>219</v>
      </c>
      <c r="CO3" s="207" t="s">
        <v>1854</v>
      </c>
      <c r="CP3" s="207" t="s">
        <v>1855</v>
      </c>
      <c r="CQ3" s="207" t="s">
        <v>1856</v>
      </c>
      <c r="CR3" s="207" t="s">
        <v>1857</v>
      </c>
      <c r="CS3" s="207" t="s">
        <v>3</v>
      </c>
      <c r="CT3" s="207" t="s">
        <v>0</v>
      </c>
      <c r="CU3" s="25">
        <v>0</v>
      </c>
      <c r="CV3" s="200" t="str">
        <f t="shared" si="0"/>
        <v>APC2060</v>
      </c>
      <c r="CW3" s="199" t="str">
        <f t="shared" si="1"/>
        <v>Fujifilm Business Innovation</v>
      </c>
      <c r="CX3" s="199" t="str">
        <f>IF(Data!D3="E","Entry",IF(Data!D3="L","Low",IF(Data!D3="M","Medium","High")))</f>
        <v>Entry</v>
      </c>
      <c r="CY3" s="206" t="str">
        <f t="shared" si="2"/>
        <v>MFD-Colour_FBI_E_2Y</v>
      </c>
    </row>
    <row r="4" spans="1:103" ht="20.100000000000001" customHeight="1" x14ac:dyDescent="0.2">
      <c r="A4" s="25" t="s">
        <v>2340</v>
      </c>
      <c r="B4" s="25" t="s">
        <v>402</v>
      </c>
      <c r="C4" s="200" t="s">
        <v>2013</v>
      </c>
      <c r="D4" s="203" t="s">
        <v>435</v>
      </c>
      <c r="E4" s="203">
        <v>1</v>
      </c>
      <c r="F4" s="200" t="s">
        <v>155</v>
      </c>
      <c r="G4" s="238" t="s">
        <v>2341</v>
      </c>
      <c r="H4" s="299" t="s">
        <v>2342</v>
      </c>
      <c r="I4" s="200">
        <v>35</v>
      </c>
      <c r="J4" s="201">
        <v>300000</v>
      </c>
      <c r="K4" s="201">
        <v>153000</v>
      </c>
      <c r="L4" s="287">
        <v>2541</v>
      </c>
      <c r="M4" s="298">
        <v>5.9344999999999997E-3</v>
      </c>
      <c r="N4" s="236">
        <v>5.9345000000000002E-2</v>
      </c>
      <c r="O4" s="236">
        <v>9.3500000000000007E-3</v>
      </c>
      <c r="P4" s="236">
        <v>9.2971999999999999E-2</v>
      </c>
      <c r="Q4" s="236">
        <v>1.2474000000000002E-2</v>
      </c>
      <c r="R4" s="236">
        <v>0.12485000000000002</v>
      </c>
      <c r="S4" s="236">
        <v>9.3500000000000007E-3</v>
      </c>
      <c r="T4" s="236">
        <v>9.2971999999999999E-2</v>
      </c>
      <c r="U4" s="236">
        <v>9.3500000000000007E-3</v>
      </c>
      <c r="V4" s="236">
        <v>9.2971999999999999E-2</v>
      </c>
      <c r="W4" s="236">
        <v>9.3500000000000007E-3</v>
      </c>
      <c r="X4" s="236">
        <v>9.2971999999999999E-2</v>
      </c>
      <c r="Y4" s="236">
        <v>9.3500000000000007E-3</v>
      </c>
      <c r="Z4" s="236">
        <v>9.2971999999999999E-2</v>
      </c>
      <c r="AA4" s="236">
        <v>9.3500000000000007E-3</v>
      </c>
      <c r="AB4" s="236">
        <v>9.2971999999999999E-2</v>
      </c>
      <c r="AC4" s="236">
        <v>9.3500000000000007E-3</v>
      </c>
      <c r="AD4" s="236">
        <v>9.2971999999999999E-2</v>
      </c>
      <c r="AE4" s="236">
        <v>9.3500000000000007E-3</v>
      </c>
      <c r="AF4" s="236">
        <v>9.2971999999999999E-2</v>
      </c>
      <c r="AG4" s="236">
        <v>9.3500000000000007E-3</v>
      </c>
      <c r="AH4" s="236">
        <v>9.2971999999999999E-2</v>
      </c>
      <c r="AI4" s="236">
        <v>9.3500000000000007E-3</v>
      </c>
      <c r="AJ4" s="236">
        <v>9.2971999999999999E-2</v>
      </c>
      <c r="AK4" s="236">
        <v>9.3500000000000007E-3</v>
      </c>
      <c r="AL4" s="236">
        <v>9.2971999999999999E-2</v>
      </c>
      <c r="AM4" s="207" t="s">
        <v>1858</v>
      </c>
      <c r="AN4" s="207" t="s">
        <v>1859</v>
      </c>
      <c r="AO4" s="237" t="s">
        <v>941</v>
      </c>
      <c r="AP4" s="237" t="s">
        <v>941</v>
      </c>
      <c r="AQ4" s="208" t="s">
        <v>1860</v>
      </c>
      <c r="AR4" s="237">
        <v>0</v>
      </c>
      <c r="AS4" s="208">
        <v>100000</v>
      </c>
      <c r="AT4" s="237">
        <v>0</v>
      </c>
      <c r="AU4" s="207" t="s">
        <v>0</v>
      </c>
      <c r="AV4" s="239" t="s">
        <v>0</v>
      </c>
      <c r="AW4" s="237">
        <v>0</v>
      </c>
      <c r="AX4" s="208" t="s">
        <v>1861</v>
      </c>
      <c r="AY4" s="237" t="s">
        <v>941</v>
      </c>
      <c r="AZ4" s="208">
        <v>385</v>
      </c>
      <c r="BA4" s="208">
        <v>460</v>
      </c>
      <c r="BB4" s="208">
        <v>385</v>
      </c>
      <c r="BC4" s="208">
        <v>385</v>
      </c>
      <c r="BD4" s="208">
        <v>385</v>
      </c>
      <c r="BE4" s="208">
        <v>385</v>
      </c>
      <c r="BF4" s="208">
        <v>385</v>
      </c>
      <c r="BG4" s="208">
        <v>385</v>
      </c>
      <c r="BH4" s="208">
        <v>385</v>
      </c>
      <c r="BI4" s="208">
        <v>385</v>
      </c>
      <c r="BJ4" s="208">
        <v>385</v>
      </c>
      <c r="BK4" s="208">
        <v>385</v>
      </c>
      <c r="BL4" s="207" t="s">
        <v>712</v>
      </c>
      <c r="BM4" s="207" t="s">
        <v>1862</v>
      </c>
      <c r="BN4" s="207" t="s">
        <v>1863</v>
      </c>
      <c r="BO4" s="207" t="s">
        <v>498</v>
      </c>
      <c r="BP4" s="207" t="s">
        <v>1864</v>
      </c>
      <c r="BQ4" s="207" t="s">
        <v>1865</v>
      </c>
      <c r="BR4" s="207" t="s">
        <v>1866</v>
      </c>
      <c r="BS4" s="207" t="s">
        <v>1867</v>
      </c>
      <c r="BT4" s="207" t="s">
        <v>2</v>
      </c>
      <c r="BU4" s="207" t="s">
        <v>1868</v>
      </c>
      <c r="BV4" s="207" t="s">
        <v>1869</v>
      </c>
      <c r="BW4" s="207" t="s">
        <v>207</v>
      </c>
      <c r="BX4" s="239">
        <v>2350</v>
      </c>
      <c r="BY4" s="207">
        <v>150</v>
      </c>
      <c r="BZ4" s="207">
        <v>50</v>
      </c>
      <c r="CA4" s="207" t="s">
        <v>2</v>
      </c>
      <c r="CB4" s="207" t="s">
        <v>2</v>
      </c>
      <c r="CC4" s="207" t="s">
        <v>2</v>
      </c>
      <c r="CD4" s="207" t="s">
        <v>3</v>
      </c>
      <c r="CE4" s="207" t="s">
        <v>1753</v>
      </c>
      <c r="CF4" s="207" t="s">
        <v>1870</v>
      </c>
      <c r="CG4" s="207" t="s">
        <v>216</v>
      </c>
      <c r="CH4" s="207" t="s">
        <v>1871</v>
      </c>
      <c r="CI4" s="207" t="s">
        <v>2</v>
      </c>
      <c r="CJ4" s="207" t="s">
        <v>2</v>
      </c>
      <c r="CK4" s="239">
        <v>2000</v>
      </c>
      <c r="CL4" s="207" t="s">
        <v>2</v>
      </c>
      <c r="CM4" s="207" t="s">
        <v>2</v>
      </c>
      <c r="CN4" s="207" t="s">
        <v>218</v>
      </c>
      <c r="CO4" s="207" t="s">
        <v>1872</v>
      </c>
      <c r="CP4" s="207" t="s">
        <v>1855</v>
      </c>
      <c r="CQ4" s="207" t="s">
        <v>1873</v>
      </c>
      <c r="CR4" s="207" t="s">
        <v>223</v>
      </c>
      <c r="CS4" s="207" t="s">
        <v>3</v>
      </c>
      <c r="CT4" s="207" t="s">
        <v>0</v>
      </c>
      <c r="CU4" s="25">
        <v>0</v>
      </c>
      <c r="CV4" s="200" t="str">
        <f t="shared" si="0"/>
        <v>AP7C3321</v>
      </c>
      <c r="CW4" s="199" t="str">
        <f t="shared" si="1"/>
        <v>Fujifilm Business Innovation</v>
      </c>
      <c r="CX4" s="199" t="str">
        <f>IF(Data!D4="E","Entry",IF(Data!D4="L","Low",IF(Data!D4="M","Medium","High")))</f>
        <v>Low</v>
      </c>
      <c r="CY4" s="206" t="str">
        <f t="shared" si="2"/>
        <v>MFD-Colour_FBI_L_1Y</v>
      </c>
    </row>
    <row r="5" spans="1:103" ht="20.100000000000001" customHeight="1" x14ac:dyDescent="0.2">
      <c r="A5" s="25" t="s">
        <v>2343</v>
      </c>
      <c r="B5" s="25" t="s">
        <v>402</v>
      </c>
      <c r="C5" s="200" t="s">
        <v>2013</v>
      </c>
      <c r="D5" s="203" t="s">
        <v>435</v>
      </c>
      <c r="E5" s="203">
        <v>2</v>
      </c>
      <c r="F5" s="200" t="s">
        <v>155</v>
      </c>
      <c r="G5" s="200" t="s">
        <v>2082</v>
      </c>
      <c r="H5" s="200" t="s">
        <v>2083</v>
      </c>
      <c r="I5" s="200">
        <v>30</v>
      </c>
      <c r="J5" s="201">
        <v>1500000</v>
      </c>
      <c r="K5" s="201">
        <v>129000</v>
      </c>
      <c r="L5" s="287">
        <v>3743.3</v>
      </c>
      <c r="M5" s="298">
        <v>5.9344999999999997E-3</v>
      </c>
      <c r="N5" s="236">
        <v>5.9345000000000002E-2</v>
      </c>
      <c r="O5" s="236">
        <v>9.3500000000000007E-3</v>
      </c>
      <c r="P5" s="236">
        <v>9.2971999999999999E-2</v>
      </c>
      <c r="Q5" s="236">
        <v>1.2474000000000002E-2</v>
      </c>
      <c r="R5" s="236">
        <v>0.12485000000000002</v>
      </c>
      <c r="S5" s="236">
        <v>9.3500000000000007E-3</v>
      </c>
      <c r="T5" s="236">
        <v>9.2971999999999999E-2</v>
      </c>
      <c r="U5" s="236">
        <v>9.3500000000000007E-3</v>
      </c>
      <c r="V5" s="236">
        <v>9.2971999999999999E-2</v>
      </c>
      <c r="W5" s="236">
        <v>9.3500000000000007E-3</v>
      </c>
      <c r="X5" s="236">
        <v>9.2971999999999999E-2</v>
      </c>
      <c r="Y5" s="236">
        <v>9.3500000000000007E-3</v>
      </c>
      <c r="Z5" s="236">
        <v>9.2971999999999999E-2</v>
      </c>
      <c r="AA5" s="236">
        <v>9.3500000000000007E-3</v>
      </c>
      <c r="AB5" s="236">
        <v>9.2971999999999999E-2</v>
      </c>
      <c r="AC5" s="236">
        <v>9.3500000000000007E-3</v>
      </c>
      <c r="AD5" s="236">
        <v>9.2971999999999999E-2</v>
      </c>
      <c r="AE5" s="236">
        <v>9.3500000000000007E-3</v>
      </c>
      <c r="AF5" s="236">
        <v>9.2971999999999999E-2</v>
      </c>
      <c r="AG5" s="236">
        <v>9.3500000000000007E-3</v>
      </c>
      <c r="AH5" s="236">
        <v>9.2971999999999999E-2</v>
      </c>
      <c r="AI5" s="236">
        <v>9.3500000000000007E-3</v>
      </c>
      <c r="AJ5" s="236">
        <v>9.2971999999999999E-2</v>
      </c>
      <c r="AK5" s="236">
        <v>9.3500000000000007E-3</v>
      </c>
      <c r="AL5" s="236">
        <v>9.2971999999999999E-2</v>
      </c>
      <c r="AM5" s="207" t="s">
        <v>158</v>
      </c>
      <c r="AN5" s="207" t="s">
        <v>160</v>
      </c>
      <c r="AO5" s="237" t="s">
        <v>941</v>
      </c>
      <c r="AP5" s="237" t="s">
        <v>941</v>
      </c>
      <c r="AQ5" s="208" t="s">
        <v>1754</v>
      </c>
      <c r="AR5" s="237">
        <v>0</v>
      </c>
      <c r="AS5" s="208" t="s">
        <v>0</v>
      </c>
      <c r="AT5" s="237">
        <v>0</v>
      </c>
      <c r="AU5" s="207" t="s">
        <v>161</v>
      </c>
      <c r="AV5" s="239">
        <v>5000</v>
      </c>
      <c r="AW5" s="240">
        <v>127.91</v>
      </c>
      <c r="AX5" s="208" t="s">
        <v>162</v>
      </c>
      <c r="AY5" s="237" t="s">
        <v>941</v>
      </c>
      <c r="AZ5" s="208">
        <v>385</v>
      </c>
      <c r="BA5" s="208">
        <v>460</v>
      </c>
      <c r="BB5" s="208">
        <v>385</v>
      </c>
      <c r="BC5" s="208">
        <v>385</v>
      </c>
      <c r="BD5" s="208">
        <v>385</v>
      </c>
      <c r="BE5" s="208">
        <v>385</v>
      </c>
      <c r="BF5" s="208">
        <v>385</v>
      </c>
      <c r="BG5" s="208">
        <v>385</v>
      </c>
      <c r="BH5" s="208">
        <v>385</v>
      </c>
      <c r="BI5" s="208">
        <v>385</v>
      </c>
      <c r="BJ5" s="208">
        <v>385</v>
      </c>
      <c r="BK5" s="208">
        <v>385</v>
      </c>
      <c r="BL5" s="207" t="s">
        <v>166</v>
      </c>
      <c r="BM5" s="207" t="s">
        <v>167</v>
      </c>
      <c r="BN5" s="207" t="s">
        <v>1874</v>
      </c>
      <c r="BO5" s="207" t="s">
        <v>177</v>
      </c>
      <c r="BP5" s="207" t="s">
        <v>186</v>
      </c>
      <c r="BQ5" s="207" t="s">
        <v>1875</v>
      </c>
      <c r="BR5" s="207" t="s">
        <v>194</v>
      </c>
      <c r="BS5" s="207" t="s">
        <v>198</v>
      </c>
      <c r="BT5" s="207" t="s">
        <v>2</v>
      </c>
      <c r="BU5" s="207" t="s">
        <v>201</v>
      </c>
      <c r="BV5" s="207" t="s">
        <v>203</v>
      </c>
      <c r="BW5" s="207" t="s">
        <v>206</v>
      </c>
      <c r="BX5" s="207" t="s">
        <v>1876</v>
      </c>
      <c r="BY5" s="207" t="s">
        <v>213</v>
      </c>
      <c r="BZ5" s="207">
        <v>130</v>
      </c>
      <c r="CA5" s="207" t="s">
        <v>2</v>
      </c>
      <c r="CB5" s="207" t="s">
        <v>2</v>
      </c>
      <c r="CC5" s="207" t="s">
        <v>2</v>
      </c>
      <c r="CD5" s="207" t="s">
        <v>2</v>
      </c>
      <c r="CE5" s="207" t="s">
        <v>1752</v>
      </c>
      <c r="CF5" s="207" t="s">
        <v>214</v>
      </c>
      <c r="CG5" s="207" t="s">
        <v>216</v>
      </c>
      <c r="CH5" s="207" t="s">
        <v>1853</v>
      </c>
      <c r="CI5" s="207" t="s">
        <v>2</v>
      </c>
      <c r="CJ5" s="207" t="s">
        <v>2</v>
      </c>
      <c r="CK5" s="239">
        <v>5000</v>
      </c>
      <c r="CL5" s="207" t="s">
        <v>2</v>
      </c>
      <c r="CM5" s="207" t="s">
        <v>2</v>
      </c>
      <c r="CN5" s="207" t="s">
        <v>219</v>
      </c>
      <c r="CO5" s="207" t="s">
        <v>1877</v>
      </c>
      <c r="CP5" s="207" t="s">
        <v>221</v>
      </c>
      <c r="CQ5" s="207" t="s">
        <v>1878</v>
      </c>
      <c r="CR5" s="207" t="s">
        <v>222</v>
      </c>
      <c r="CS5" s="207" t="s">
        <v>3</v>
      </c>
      <c r="CT5" s="207" t="s">
        <v>0</v>
      </c>
      <c r="CU5" s="25">
        <v>0</v>
      </c>
      <c r="CV5" s="200" t="str">
        <f t="shared" si="0"/>
        <v>AC3070-4</v>
      </c>
      <c r="CW5" s="199" t="str">
        <f t="shared" si="1"/>
        <v>Fujifilm Business Innovation</v>
      </c>
      <c r="CX5" s="199" t="str">
        <f>IF(Data!D5="E","Entry",IF(Data!D5="L","Low",IF(Data!D5="M","Medium","High")))</f>
        <v>Low</v>
      </c>
      <c r="CY5" s="206" t="str">
        <f t="shared" si="2"/>
        <v>MFD-Colour_FBI_L_2Y</v>
      </c>
    </row>
    <row r="6" spans="1:103" ht="20.100000000000001" customHeight="1" x14ac:dyDescent="0.2">
      <c r="A6" s="25" t="s">
        <v>2344</v>
      </c>
      <c r="B6" s="25" t="s">
        <v>402</v>
      </c>
      <c r="C6" s="200" t="s">
        <v>2013</v>
      </c>
      <c r="D6" s="203" t="s">
        <v>435</v>
      </c>
      <c r="E6" s="203">
        <v>3</v>
      </c>
      <c r="F6" s="200" t="s">
        <v>155</v>
      </c>
      <c r="G6" s="200" t="s">
        <v>2084</v>
      </c>
      <c r="H6" s="200" t="s">
        <v>2085</v>
      </c>
      <c r="I6" s="200">
        <v>35</v>
      </c>
      <c r="J6" s="201">
        <v>1800000</v>
      </c>
      <c r="K6" s="201">
        <v>153000</v>
      </c>
      <c r="L6" s="287">
        <v>4286.7</v>
      </c>
      <c r="M6" s="298">
        <v>5.9344999999999997E-3</v>
      </c>
      <c r="N6" s="236">
        <v>5.9345000000000002E-2</v>
      </c>
      <c r="O6" s="236">
        <v>9.3500000000000007E-3</v>
      </c>
      <c r="P6" s="236">
        <v>9.2971999999999999E-2</v>
      </c>
      <c r="Q6" s="236">
        <v>1.2474000000000002E-2</v>
      </c>
      <c r="R6" s="236">
        <v>0.12485000000000002</v>
      </c>
      <c r="S6" s="236">
        <v>9.3500000000000007E-3</v>
      </c>
      <c r="T6" s="236">
        <v>9.2971999999999999E-2</v>
      </c>
      <c r="U6" s="236">
        <v>9.3500000000000007E-3</v>
      </c>
      <c r="V6" s="236">
        <v>9.2971999999999999E-2</v>
      </c>
      <c r="W6" s="236">
        <v>9.3500000000000007E-3</v>
      </c>
      <c r="X6" s="236">
        <v>9.2971999999999999E-2</v>
      </c>
      <c r="Y6" s="236">
        <v>9.3500000000000007E-3</v>
      </c>
      <c r="Z6" s="236">
        <v>9.2971999999999999E-2</v>
      </c>
      <c r="AA6" s="236">
        <v>9.3500000000000007E-3</v>
      </c>
      <c r="AB6" s="236">
        <v>9.2971999999999999E-2</v>
      </c>
      <c r="AC6" s="236">
        <v>9.3500000000000007E-3</v>
      </c>
      <c r="AD6" s="236">
        <v>9.2971999999999999E-2</v>
      </c>
      <c r="AE6" s="236">
        <v>9.3500000000000007E-3</v>
      </c>
      <c r="AF6" s="236">
        <v>9.2971999999999999E-2</v>
      </c>
      <c r="AG6" s="236">
        <v>9.3500000000000007E-3</v>
      </c>
      <c r="AH6" s="236">
        <v>9.2971999999999999E-2</v>
      </c>
      <c r="AI6" s="236">
        <v>9.3500000000000007E-3</v>
      </c>
      <c r="AJ6" s="236">
        <v>9.2971999999999999E-2</v>
      </c>
      <c r="AK6" s="236">
        <v>9.3500000000000007E-3</v>
      </c>
      <c r="AL6" s="236">
        <v>9.2971999999999999E-2</v>
      </c>
      <c r="AM6" s="207" t="s">
        <v>158</v>
      </c>
      <c r="AN6" s="207" t="s">
        <v>160</v>
      </c>
      <c r="AO6" s="237" t="s">
        <v>941</v>
      </c>
      <c r="AP6" s="237" t="s">
        <v>941</v>
      </c>
      <c r="AQ6" s="208" t="s">
        <v>1879</v>
      </c>
      <c r="AR6" s="237">
        <v>0</v>
      </c>
      <c r="AS6" s="208" t="s">
        <v>0</v>
      </c>
      <c r="AT6" s="237">
        <v>0</v>
      </c>
      <c r="AU6" s="207" t="s">
        <v>161</v>
      </c>
      <c r="AV6" s="239">
        <v>5000</v>
      </c>
      <c r="AW6" s="240">
        <v>127.91</v>
      </c>
      <c r="AX6" s="208" t="s">
        <v>162</v>
      </c>
      <c r="AY6" s="237" t="s">
        <v>941</v>
      </c>
      <c r="AZ6" s="208">
        <v>385</v>
      </c>
      <c r="BA6" s="208">
        <v>460</v>
      </c>
      <c r="BB6" s="208">
        <v>385</v>
      </c>
      <c r="BC6" s="208">
        <v>385</v>
      </c>
      <c r="BD6" s="208">
        <v>385</v>
      </c>
      <c r="BE6" s="208">
        <v>385</v>
      </c>
      <c r="BF6" s="208">
        <v>385</v>
      </c>
      <c r="BG6" s="208">
        <v>385</v>
      </c>
      <c r="BH6" s="208">
        <v>385</v>
      </c>
      <c r="BI6" s="208">
        <v>385</v>
      </c>
      <c r="BJ6" s="208">
        <v>385</v>
      </c>
      <c r="BK6" s="208">
        <v>385</v>
      </c>
      <c r="BL6" s="207" t="s">
        <v>166</v>
      </c>
      <c r="BM6" s="207" t="s">
        <v>167</v>
      </c>
      <c r="BN6" s="207" t="s">
        <v>1874</v>
      </c>
      <c r="BO6" s="207" t="s">
        <v>177</v>
      </c>
      <c r="BP6" s="207" t="s">
        <v>186</v>
      </c>
      <c r="BQ6" s="207" t="s">
        <v>1875</v>
      </c>
      <c r="BR6" s="207" t="s">
        <v>194</v>
      </c>
      <c r="BS6" s="207" t="s">
        <v>198</v>
      </c>
      <c r="BT6" s="207" t="s">
        <v>2</v>
      </c>
      <c r="BU6" s="207" t="s">
        <v>201</v>
      </c>
      <c r="BV6" s="207" t="s">
        <v>203</v>
      </c>
      <c r="BW6" s="207" t="s">
        <v>206</v>
      </c>
      <c r="BX6" s="207" t="s">
        <v>1876</v>
      </c>
      <c r="BY6" s="207" t="s">
        <v>213</v>
      </c>
      <c r="BZ6" s="207">
        <v>130</v>
      </c>
      <c r="CA6" s="207" t="s">
        <v>2</v>
      </c>
      <c r="CB6" s="207" t="s">
        <v>2</v>
      </c>
      <c r="CC6" s="207" t="s">
        <v>2</v>
      </c>
      <c r="CD6" s="207" t="s">
        <v>2</v>
      </c>
      <c r="CE6" s="207" t="s">
        <v>1752</v>
      </c>
      <c r="CF6" s="207" t="s">
        <v>214</v>
      </c>
      <c r="CG6" s="207" t="s">
        <v>216</v>
      </c>
      <c r="CH6" s="207" t="s">
        <v>1853</v>
      </c>
      <c r="CI6" s="207" t="s">
        <v>2</v>
      </c>
      <c r="CJ6" s="207" t="s">
        <v>2</v>
      </c>
      <c r="CK6" s="239">
        <v>5000</v>
      </c>
      <c r="CL6" s="207" t="s">
        <v>2</v>
      </c>
      <c r="CM6" s="207" t="s">
        <v>2</v>
      </c>
      <c r="CN6" s="207" t="s">
        <v>219</v>
      </c>
      <c r="CO6" s="207" t="s">
        <v>1877</v>
      </c>
      <c r="CP6" s="207" t="s">
        <v>221</v>
      </c>
      <c r="CQ6" s="207" t="s">
        <v>1878</v>
      </c>
      <c r="CR6" s="207" t="s">
        <v>222</v>
      </c>
      <c r="CS6" s="207" t="s">
        <v>3</v>
      </c>
      <c r="CT6" s="207" t="s">
        <v>0</v>
      </c>
      <c r="CU6" s="25">
        <v>0</v>
      </c>
      <c r="CV6" s="200" t="str">
        <f t="shared" si="0"/>
        <v>AC3570-4</v>
      </c>
      <c r="CW6" s="199" t="str">
        <f t="shared" si="1"/>
        <v>Fujifilm Business Innovation</v>
      </c>
      <c r="CX6" s="199" t="str">
        <f>IF(Data!D6="E","Entry",IF(Data!D6="L","Low",IF(Data!D6="M","Medium","High")))</f>
        <v>Low</v>
      </c>
      <c r="CY6" s="206" t="str">
        <f t="shared" si="2"/>
        <v>MFD-Colour_FBI_L_3Y</v>
      </c>
    </row>
    <row r="7" spans="1:103" ht="20.100000000000001" customHeight="1" x14ac:dyDescent="0.2">
      <c r="A7" s="25" t="s">
        <v>2345</v>
      </c>
      <c r="B7" s="25" t="s">
        <v>402</v>
      </c>
      <c r="C7" s="200" t="s">
        <v>2013</v>
      </c>
      <c r="D7" s="203" t="s">
        <v>435</v>
      </c>
      <c r="E7" s="203">
        <v>4</v>
      </c>
      <c r="F7" s="200" t="s">
        <v>155</v>
      </c>
      <c r="G7" s="200" t="s">
        <v>2086</v>
      </c>
      <c r="H7" s="200" t="s">
        <v>2087</v>
      </c>
      <c r="I7" s="200">
        <v>30</v>
      </c>
      <c r="J7" s="201">
        <v>1500000</v>
      </c>
      <c r="K7" s="201">
        <v>129000</v>
      </c>
      <c r="L7" s="287">
        <v>4650.8</v>
      </c>
      <c r="M7" s="298">
        <v>5.9344999999999997E-3</v>
      </c>
      <c r="N7" s="236">
        <v>5.9345000000000002E-2</v>
      </c>
      <c r="O7" s="236">
        <v>9.3500000000000007E-3</v>
      </c>
      <c r="P7" s="236">
        <v>9.2971999999999999E-2</v>
      </c>
      <c r="Q7" s="236">
        <v>1.2474000000000002E-2</v>
      </c>
      <c r="R7" s="236">
        <v>0.12485000000000002</v>
      </c>
      <c r="S7" s="236">
        <v>9.3500000000000007E-3</v>
      </c>
      <c r="T7" s="236">
        <v>9.2971999999999999E-2</v>
      </c>
      <c r="U7" s="236">
        <v>9.3500000000000007E-3</v>
      </c>
      <c r="V7" s="236">
        <v>9.2971999999999999E-2</v>
      </c>
      <c r="W7" s="236">
        <v>9.3500000000000007E-3</v>
      </c>
      <c r="X7" s="236">
        <v>9.2971999999999999E-2</v>
      </c>
      <c r="Y7" s="236">
        <v>9.3500000000000007E-3</v>
      </c>
      <c r="Z7" s="236">
        <v>9.2971999999999999E-2</v>
      </c>
      <c r="AA7" s="236">
        <v>9.3500000000000007E-3</v>
      </c>
      <c r="AB7" s="236">
        <v>9.2971999999999999E-2</v>
      </c>
      <c r="AC7" s="236">
        <v>9.3500000000000007E-3</v>
      </c>
      <c r="AD7" s="236">
        <v>9.2971999999999999E-2</v>
      </c>
      <c r="AE7" s="236">
        <v>9.3500000000000007E-3</v>
      </c>
      <c r="AF7" s="236">
        <v>9.2971999999999999E-2</v>
      </c>
      <c r="AG7" s="236">
        <v>9.3500000000000007E-3</v>
      </c>
      <c r="AH7" s="236">
        <v>9.2971999999999999E-2</v>
      </c>
      <c r="AI7" s="236">
        <v>9.3500000000000007E-3</v>
      </c>
      <c r="AJ7" s="236">
        <v>9.2971999999999999E-2</v>
      </c>
      <c r="AK7" s="236">
        <v>9.3500000000000007E-3</v>
      </c>
      <c r="AL7" s="236">
        <v>9.2971999999999999E-2</v>
      </c>
      <c r="AM7" s="207">
        <v>0</v>
      </c>
      <c r="AN7" s="207"/>
      <c r="AO7" s="237">
        <v>0</v>
      </c>
      <c r="AP7" s="237">
        <v>0</v>
      </c>
      <c r="AQ7" s="208">
        <v>0</v>
      </c>
      <c r="AR7" s="237">
        <v>0</v>
      </c>
      <c r="AS7" s="208">
        <v>0</v>
      </c>
      <c r="AT7" s="237">
        <v>0</v>
      </c>
      <c r="AU7" s="207">
        <v>0</v>
      </c>
      <c r="AV7" s="239">
        <v>0</v>
      </c>
      <c r="AW7" s="240">
        <v>0</v>
      </c>
      <c r="AX7" s="208">
        <v>0</v>
      </c>
      <c r="AY7" s="237">
        <v>0</v>
      </c>
      <c r="AZ7" s="208">
        <v>0</v>
      </c>
      <c r="BA7" s="208">
        <v>0</v>
      </c>
      <c r="BB7" s="208">
        <v>0</v>
      </c>
      <c r="BC7" s="208">
        <v>0</v>
      </c>
      <c r="BD7" s="208">
        <v>0</v>
      </c>
      <c r="BE7" s="208">
        <v>0</v>
      </c>
      <c r="BF7" s="208">
        <v>0</v>
      </c>
      <c r="BG7" s="208">
        <v>0</v>
      </c>
      <c r="BH7" s="208">
        <v>0</v>
      </c>
      <c r="BI7" s="208">
        <v>0</v>
      </c>
      <c r="BJ7" s="208">
        <v>0</v>
      </c>
      <c r="BK7" s="208">
        <v>0</v>
      </c>
      <c r="BL7" s="207">
        <v>0</v>
      </c>
      <c r="BM7" s="207">
        <v>0</v>
      </c>
      <c r="BN7" s="207">
        <v>0</v>
      </c>
      <c r="BO7" s="207">
        <v>0</v>
      </c>
      <c r="BP7" s="207">
        <v>0</v>
      </c>
      <c r="BQ7" s="207">
        <v>0</v>
      </c>
      <c r="BR7" s="207">
        <v>0</v>
      </c>
      <c r="BS7" s="207">
        <v>0</v>
      </c>
      <c r="BT7" s="207">
        <v>0</v>
      </c>
      <c r="BU7" s="207">
        <v>0</v>
      </c>
      <c r="BV7" s="207">
        <v>0</v>
      </c>
      <c r="BW7" s="207">
        <v>0</v>
      </c>
      <c r="BX7" s="207">
        <v>0</v>
      </c>
      <c r="BY7" s="207">
        <v>0</v>
      </c>
      <c r="BZ7" s="207">
        <v>0</v>
      </c>
      <c r="CA7" s="207">
        <v>0</v>
      </c>
      <c r="CB7" s="207">
        <v>0</v>
      </c>
      <c r="CC7" s="207">
        <v>0</v>
      </c>
      <c r="CD7" s="207">
        <v>0</v>
      </c>
      <c r="CE7" s="207">
        <v>0</v>
      </c>
      <c r="CF7" s="207">
        <v>0</v>
      </c>
      <c r="CG7" s="207">
        <v>0</v>
      </c>
      <c r="CH7" s="207">
        <v>0</v>
      </c>
      <c r="CI7" s="207">
        <v>0</v>
      </c>
      <c r="CJ7" s="207">
        <v>0</v>
      </c>
      <c r="CK7" s="239">
        <v>0</v>
      </c>
      <c r="CL7" s="207">
        <v>0</v>
      </c>
      <c r="CM7" s="207">
        <v>0</v>
      </c>
      <c r="CN7" s="207">
        <v>0</v>
      </c>
      <c r="CO7" s="207">
        <v>0</v>
      </c>
      <c r="CP7" s="207">
        <v>0</v>
      </c>
      <c r="CQ7" s="207">
        <v>0</v>
      </c>
      <c r="CR7" s="207">
        <v>0</v>
      </c>
      <c r="CS7" s="207">
        <v>0</v>
      </c>
      <c r="CT7" s="207">
        <v>0</v>
      </c>
      <c r="CU7" s="25">
        <v>0</v>
      </c>
      <c r="CV7" s="200" t="str">
        <f t="shared" si="0"/>
        <v>AC3070-4F</v>
      </c>
      <c r="CW7" s="199" t="str">
        <f t="shared" si="1"/>
        <v>Fujifilm Business Innovation</v>
      </c>
      <c r="CX7" s="199" t="str">
        <f>IF(Data!D7="E","Entry",IF(Data!D7="L","Low",IF(Data!D7="M","Medium","High")))</f>
        <v>Low</v>
      </c>
      <c r="CY7" s="206" t="str">
        <f t="shared" si="2"/>
        <v>MFD-Colour_FBI_L_4Y</v>
      </c>
    </row>
    <row r="8" spans="1:103" ht="20.100000000000001" customHeight="1" x14ac:dyDescent="0.2">
      <c r="A8" s="25" t="s">
        <v>2346</v>
      </c>
      <c r="B8" s="25" t="s">
        <v>402</v>
      </c>
      <c r="C8" s="200" t="s">
        <v>2013</v>
      </c>
      <c r="D8" s="203" t="s">
        <v>433</v>
      </c>
      <c r="E8" s="203">
        <v>1</v>
      </c>
      <c r="F8" s="200" t="s">
        <v>156</v>
      </c>
      <c r="G8" s="238" t="s">
        <v>2347</v>
      </c>
      <c r="H8" s="299" t="s">
        <v>2348</v>
      </c>
      <c r="I8" s="200">
        <v>40</v>
      </c>
      <c r="J8" s="201">
        <v>300000</v>
      </c>
      <c r="K8" s="201">
        <v>179000</v>
      </c>
      <c r="L8" s="287">
        <v>3415.5</v>
      </c>
      <c r="M8" s="298">
        <v>5.9344999999999997E-3</v>
      </c>
      <c r="N8" s="236">
        <v>5.9345000000000002E-2</v>
      </c>
      <c r="O8" s="236">
        <v>9.3500000000000007E-3</v>
      </c>
      <c r="P8" s="236">
        <v>9.2971999999999999E-2</v>
      </c>
      <c r="Q8" s="236">
        <v>1.2474000000000002E-2</v>
      </c>
      <c r="R8" s="236">
        <v>0.12485000000000002</v>
      </c>
      <c r="S8" s="236">
        <v>9.3500000000000007E-3</v>
      </c>
      <c r="T8" s="236">
        <v>9.2971999999999999E-2</v>
      </c>
      <c r="U8" s="236">
        <v>9.3500000000000007E-3</v>
      </c>
      <c r="V8" s="236">
        <v>9.2971999999999999E-2</v>
      </c>
      <c r="W8" s="236">
        <v>9.3500000000000007E-3</v>
      </c>
      <c r="X8" s="236">
        <v>9.2971999999999999E-2</v>
      </c>
      <c r="Y8" s="236">
        <v>9.3500000000000007E-3</v>
      </c>
      <c r="Z8" s="236">
        <v>9.2971999999999999E-2</v>
      </c>
      <c r="AA8" s="236">
        <v>9.3500000000000007E-3</v>
      </c>
      <c r="AB8" s="236">
        <v>9.2971999999999999E-2</v>
      </c>
      <c r="AC8" s="236">
        <v>9.3500000000000007E-3</v>
      </c>
      <c r="AD8" s="236">
        <v>9.2971999999999999E-2</v>
      </c>
      <c r="AE8" s="236">
        <v>9.3500000000000007E-3</v>
      </c>
      <c r="AF8" s="236">
        <v>9.2971999999999999E-2</v>
      </c>
      <c r="AG8" s="236">
        <v>9.3500000000000007E-3</v>
      </c>
      <c r="AH8" s="236">
        <v>9.2971999999999999E-2</v>
      </c>
      <c r="AI8" s="236">
        <v>9.3500000000000007E-3</v>
      </c>
      <c r="AJ8" s="236">
        <v>9.2971999999999999E-2</v>
      </c>
      <c r="AK8" s="236">
        <v>9.3500000000000007E-3</v>
      </c>
      <c r="AL8" s="236">
        <v>9.2971999999999999E-2</v>
      </c>
      <c r="AM8" s="207" t="s">
        <v>158</v>
      </c>
      <c r="AN8" s="207" t="s">
        <v>160</v>
      </c>
      <c r="AO8" s="237" t="s">
        <v>941</v>
      </c>
      <c r="AP8" s="237" t="s">
        <v>941</v>
      </c>
      <c r="AQ8" s="208" t="s">
        <v>1860</v>
      </c>
      <c r="AR8" s="237">
        <v>0</v>
      </c>
      <c r="AS8" s="208">
        <v>100000</v>
      </c>
      <c r="AT8" s="237">
        <v>0</v>
      </c>
      <c r="AU8" s="207" t="s">
        <v>0</v>
      </c>
      <c r="AV8" s="239" t="s">
        <v>0</v>
      </c>
      <c r="AW8" s="240">
        <v>0</v>
      </c>
      <c r="AX8" s="208" t="s">
        <v>1861</v>
      </c>
      <c r="AY8" s="237" t="s">
        <v>941</v>
      </c>
      <c r="AZ8" s="208">
        <v>385</v>
      </c>
      <c r="BA8" s="208">
        <v>460</v>
      </c>
      <c r="BB8" s="208">
        <v>385</v>
      </c>
      <c r="BC8" s="208">
        <v>385</v>
      </c>
      <c r="BD8" s="208">
        <v>385</v>
      </c>
      <c r="BE8" s="208">
        <v>385</v>
      </c>
      <c r="BF8" s="208">
        <v>385</v>
      </c>
      <c r="BG8" s="208">
        <v>385</v>
      </c>
      <c r="BH8" s="208">
        <v>385</v>
      </c>
      <c r="BI8" s="208">
        <v>385</v>
      </c>
      <c r="BJ8" s="208">
        <v>385</v>
      </c>
      <c r="BK8" s="208">
        <v>385</v>
      </c>
      <c r="BL8" s="207" t="s">
        <v>712</v>
      </c>
      <c r="BM8" s="207" t="s">
        <v>1862</v>
      </c>
      <c r="BN8" s="207" t="s">
        <v>1863</v>
      </c>
      <c r="BO8" s="207" t="s">
        <v>498</v>
      </c>
      <c r="BP8" s="207" t="s">
        <v>1864</v>
      </c>
      <c r="BQ8" s="207" t="s">
        <v>1865</v>
      </c>
      <c r="BR8" s="207" t="s">
        <v>1866</v>
      </c>
      <c r="BS8" s="207" t="s">
        <v>1867</v>
      </c>
      <c r="BT8" s="207" t="s">
        <v>2</v>
      </c>
      <c r="BU8" s="207" t="s">
        <v>1868</v>
      </c>
      <c r="BV8" s="207" t="s">
        <v>1869</v>
      </c>
      <c r="BW8" s="207" t="s">
        <v>207</v>
      </c>
      <c r="BX8" s="207">
        <v>2350</v>
      </c>
      <c r="BY8" s="207">
        <v>150</v>
      </c>
      <c r="BZ8" s="207">
        <v>100</v>
      </c>
      <c r="CA8" s="207" t="s">
        <v>2</v>
      </c>
      <c r="CB8" s="207" t="s">
        <v>2</v>
      </c>
      <c r="CC8" s="207" t="s">
        <v>2</v>
      </c>
      <c r="CD8" s="207" t="s">
        <v>3</v>
      </c>
      <c r="CE8" s="207" t="s">
        <v>1753</v>
      </c>
      <c r="CF8" s="207" t="s">
        <v>1870</v>
      </c>
      <c r="CG8" s="207" t="s">
        <v>216</v>
      </c>
      <c r="CH8" s="207" t="s">
        <v>1871</v>
      </c>
      <c r="CI8" s="207" t="s">
        <v>2</v>
      </c>
      <c r="CJ8" s="207" t="s">
        <v>2</v>
      </c>
      <c r="CK8" s="239">
        <v>2000</v>
      </c>
      <c r="CL8" s="207" t="s">
        <v>2</v>
      </c>
      <c r="CM8" s="207" t="s">
        <v>2</v>
      </c>
      <c r="CN8" s="207" t="s">
        <v>218</v>
      </c>
      <c r="CO8" s="207" t="s">
        <v>1872</v>
      </c>
      <c r="CP8" s="207" t="s">
        <v>1855</v>
      </c>
      <c r="CQ8" s="207" t="s">
        <v>1873</v>
      </c>
      <c r="CR8" s="207" t="s">
        <v>223</v>
      </c>
      <c r="CS8" s="207" t="s">
        <v>3</v>
      </c>
      <c r="CT8" s="207" t="s">
        <v>0</v>
      </c>
      <c r="CU8" s="25">
        <v>0</v>
      </c>
      <c r="CV8" s="200" t="str">
        <f t="shared" si="0"/>
        <v>AP7C4421</v>
      </c>
      <c r="CW8" s="199" t="str">
        <f t="shared" si="1"/>
        <v>Fujifilm Business Innovation</v>
      </c>
      <c r="CX8" s="199" t="str">
        <f>IF(Data!D8="E","Entry",IF(Data!D8="L","Low",IF(Data!D8="M","Medium","High")))</f>
        <v>Medium</v>
      </c>
      <c r="CY8" s="206" t="str">
        <f t="shared" si="2"/>
        <v>MFD-Colour_FBI_M_1Y</v>
      </c>
    </row>
    <row r="9" spans="1:103" ht="20.100000000000001" customHeight="1" x14ac:dyDescent="0.2">
      <c r="A9" s="26" t="s">
        <v>2349</v>
      </c>
      <c r="B9" s="26" t="s">
        <v>402</v>
      </c>
      <c r="C9" s="27" t="s">
        <v>2013</v>
      </c>
      <c r="D9" s="184" t="s">
        <v>433</v>
      </c>
      <c r="E9" s="184">
        <v>2</v>
      </c>
      <c r="F9" s="27" t="s">
        <v>156</v>
      </c>
      <c r="G9" s="27">
        <v>0</v>
      </c>
      <c r="H9" s="27" t="s">
        <v>899</v>
      </c>
      <c r="I9" s="27">
        <v>0</v>
      </c>
      <c r="J9" s="185">
        <v>0</v>
      </c>
      <c r="K9" s="185">
        <v>0</v>
      </c>
      <c r="L9" s="288">
        <v>0</v>
      </c>
      <c r="M9" s="294">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30">
        <v>0</v>
      </c>
      <c r="AN9" s="30"/>
      <c r="AO9" s="29">
        <v>0</v>
      </c>
      <c r="AP9" s="29">
        <v>0</v>
      </c>
      <c r="AQ9" s="32">
        <v>0</v>
      </c>
      <c r="AR9" s="29">
        <v>0</v>
      </c>
      <c r="AS9" s="32">
        <v>0</v>
      </c>
      <c r="AT9" s="29">
        <v>0</v>
      </c>
      <c r="AU9" s="30">
        <v>0</v>
      </c>
      <c r="AV9" s="31">
        <v>0</v>
      </c>
      <c r="AW9" s="33">
        <v>0</v>
      </c>
      <c r="AX9" s="32">
        <v>0</v>
      </c>
      <c r="AY9" s="29">
        <v>0</v>
      </c>
      <c r="AZ9" s="32">
        <v>0</v>
      </c>
      <c r="BA9" s="32">
        <v>0</v>
      </c>
      <c r="BB9" s="32">
        <v>0</v>
      </c>
      <c r="BC9" s="32">
        <v>0</v>
      </c>
      <c r="BD9" s="32">
        <v>0</v>
      </c>
      <c r="BE9" s="32">
        <v>0</v>
      </c>
      <c r="BF9" s="32">
        <v>0</v>
      </c>
      <c r="BG9" s="32">
        <v>0</v>
      </c>
      <c r="BH9" s="32">
        <v>0</v>
      </c>
      <c r="BI9" s="32">
        <v>0</v>
      </c>
      <c r="BJ9" s="32">
        <v>0</v>
      </c>
      <c r="BK9" s="32">
        <v>0</v>
      </c>
      <c r="BL9" s="30">
        <v>0</v>
      </c>
      <c r="BM9" s="30">
        <v>0</v>
      </c>
      <c r="BN9" s="30">
        <v>0</v>
      </c>
      <c r="BO9" s="30">
        <v>0</v>
      </c>
      <c r="BP9" s="30">
        <v>0</v>
      </c>
      <c r="BQ9" s="30">
        <v>0</v>
      </c>
      <c r="BR9" s="30">
        <v>0</v>
      </c>
      <c r="BS9" s="30">
        <v>0</v>
      </c>
      <c r="BT9" s="30">
        <v>0</v>
      </c>
      <c r="BU9" s="30">
        <v>0</v>
      </c>
      <c r="BV9" s="30">
        <v>0</v>
      </c>
      <c r="BW9" s="30">
        <v>0</v>
      </c>
      <c r="BX9" s="30">
        <v>0</v>
      </c>
      <c r="BY9" s="30">
        <v>0</v>
      </c>
      <c r="BZ9" s="30">
        <v>0</v>
      </c>
      <c r="CA9" s="30">
        <v>0</v>
      </c>
      <c r="CB9" s="30">
        <v>0</v>
      </c>
      <c r="CC9" s="30">
        <v>0</v>
      </c>
      <c r="CD9" s="30">
        <v>0</v>
      </c>
      <c r="CE9" s="30">
        <v>0</v>
      </c>
      <c r="CF9" s="30">
        <v>0</v>
      </c>
      <c r="CG9" s="30">
        <v>0</v>
      </c>
      <c r="CH9" s="30">
        <v>0</v>
      </c>
      <c r="CI9" s="30">
        <v>0</v>
      </c>
      <c r="CJ9" s="30">
        <v>0</v>
      </c>
      <c r="CK9" s="31">
        <v>0</v>
      </c>
      <c r="CL9" s="30">
        <v>0</v>
      </c>
      <c r="CM9" s="30">
        <v>0</v>
      </c>
      <c r="CN9" s="30">
        <v>0</v>
      </c>
      <c r="CO9" s="30">
        <v>0</v>
      </c>
      <c r="CP9" s="30">
        <v>0</v>
      </c>
      <c r="CQ9" s="30">
        <v>0</v>
      </c>
      <c r="CR9" s="30">
        <v>0</v>
      </c>
      <c r="CS9" s="30">
        <v>0</v>
      </c>
      <c r="CT9" s="30">
        <v>0</v>
      </c>
      <c r="CU9" s="26">
        <v>0</v>
      </c>
      <c r="CV9" s="27">
        <f t="shared" si="0"/>
        <v>0</v>
      </c>
      <c r="CW9" s="186" t="str">
        <f t="shared" si="1"/>
        <v>Fujifilm Business Innovation</v>
      </c>
      <c r="CX9" s="186" t="str">
        <f>IF(Data!D9="E","Entry",IF(Data!D9="L","Low",IF(Data!D9="M","Medium","High")))</f>
        <v>Medium</v>
      </c>
      <c r="CY9" s="187" t="str">
        <f t="shared" si="2"/>
        <v>MFD-Colour_FBI_M_2N</v>
      </c>
    </row>
    <row r="10" spans="1:103" ht="20.100000000000001" customHeight="1" x14ac:dyDescent="0.2">
      <c r="A10" s="26" t="s">
        <v>2350</v>
      </c>
      <c r="B10" s="26" t="s">
        <v>402</v>
      </c>
      <c r="C10" s="27" t="s">
        <v>2013</v>
      </c>
      <c r="D10" s="184" t="s">
        <v>433</v>
      </c>
      <c r="E10" s="184">
        <v>3</v>
      </c>
      <c r="F10" s="200" t="s">
        <v>156</v>
      </c>
      <c r="G10" s="200" t="s">
        <v>2088</v>
      </c>
      <c r="H10" s="200" t="s">
        <v>2351</v>
      </c>
      <c r="I10" s="200">
        <v>45</v>
      </c>
      <c r="J10" s="201">
        <v>2100000</v>
      </c>
      <c r="K10" s="201">
        <v>207000</v>
      </c>
      <c r="L10" s="287">
        <v>4793.8</v>
      </c>
      <c r="M10" s="293">
        <v>5.9344999999999997E-3</v>
      </c>
      <c r="N10" s="236">
        <v>5.9345000000000002E-2</v>
      </c>
      <c r="O10" s="236">
        <v>9.3500000000000007E-3</v>
      </c>
      <c r="P10" s="236">
        <v>9.2971999999999999E-2</v>
      </c>
      <c r="Q10" s="236">
        <v>1.2474000000000002E-2</v>
      </c>
      <c r="R10" s="236">
        <v>0.12485000000000002</v>
      </c>
      <c r="S10" s="236">
        <v>9.4000000000000004E-3</v>
      </c>
      <c r="T10" s="236">
        <v>9.4E-2</v>
      </c>
      <c r="U10" s="236">
        <v>9.4000000000000004E-3</v>
      </c>
      <c r="V10" s="236">
        <v>9.4E-2</v>
      </c>
      <c r="W10" s="236">
        <v>9.4000000000000004E-3</v>
      </c>
      <c r="X10" s="236">
        <v>9.4E-2</v>
      </c>
      <c r="Y10" s="236">
        <v>9.4000000000000004E-3</v>
      </c>
      <c r="Z10" s="236">
        <v>9.4E-2</v>
      </c>
      <c r="AA10" s="236">
        <v>9.4000000000000004E-3</v>
      </c>
      <c r="AB10" s="236">
        <v>9.4E-2</v>
      </c>
      <c r="AC10" s="236">
        <v>9.4000000000000004E-3</v>
      </c>
      <c r="AD10" s="236">
        <v>9.4E-2</v>
      </c>
      <c r="AE10" s="236">
        <v>9.4000000000000004E-3</v>
      </c>
      <c r="AF10" s="236">
        <v>9.4E-2</v>
      </c>
      <c r="AG10" s="236">
        <v>9.4000000000000004E-3</v>
      </c>
      <c r="AH10" s="236">
        <v>9.4E-2</v>
      </c>
      <c r="AI10" s="236">
        <v>9.4000000000000004E-3</v>
      </c>
      <c r="AJ10" s="236">
        <v>9.4E-2</v>
      </c>
      <c r="AK10" s="236">
        <v>9.4000000000000004E-3</v>
      </c>
      <c r="AL10" s="236">
        <v>9.4E-2</v>
      </c>
      <c r="AM10" s="207" t="s">
        <v>158</v>
      </c>
      <c r="AN10" s="207" t="s">
        <v>160</v>
      </c>
      <c r="AO10" s="237" t="s">
        <v>941</v>
      </c>
      <c r="AP10" s="237" t="s">
        <v>941</v>
      </c>
      <c r="AQ10" s="208" t="s">
        <v>1755</v>
      </c>
      <c r="AR10" s="237">
        <v>0</v>
      </c>
      <c r="AS10" s="208" t="s">
        <v>0</v>
      </c>
      <c r="AT10" s="237">
        <v>0</v>
      </c>
      <c r="AU10" s="207" t="s">
        <v>161</v>
      </c>
      <c r="AV10" s="239">
        <v>5000</v>
      </c>
      <c r="AW10" s="240">
        <v>127.91</v>
      </c>
      <c r="AX10" s="208" t="s">
        <v>162</v>
      </c>
      <c r="AY10" s="237" t="s">
        <v>941</v>
      </c>
      <c r="AZ10" s="208">
        <v>385</v>
      </c>
      <c r="BA10" s="208">
        <v>460</v>
      </c>
      <c r="BB10" s="208">
        <v>385</v>
      </c>
      <c r="BC10" s="208">
        <v>385</v>
      </c>
      <c r="BD10" s="208">
        <v>385</v>
      </c>
      <c r="BE10" s="208">
        <v>385</v>
      </c>
      <c r="BF10" s="208">
        <v>385</v>
      </c>
      <c r="BG10" s="208">
        <v>385</v>
      </c>
      <c r="BH10" s="208">
        <v>385</v>
      </c>
      <c r="BI10" s="208">
        <v>385</v>
      </c>
      <c r="BJ10" s="208">
        <v>385</v>
      </c>
      <c r="BK10" s="208">
        <v>385</v>
      </c>
      <c r="BL10" s="207" t="s">
        <v>166</v>
      </c>
      <c r="BM10" s="207" t="s">
        <v>168</v>
      </c>
      <c r="BN10" s="207" t="s">
        <v>1874</v>
      </c>
      <c r="BO10" s="207" t="s">
        <v>179</v>
      </c>
      <c r="BP10" s="207" t="s">
        <v>187</v>
      </c>
      <c r="BQ10" s="207" t="s">
        <v>1880</v>
      </c>
      <c r="BR10" s="207" t="s">
        <v>194</v>
      </c>
      <c r="BS10" s="207" t="s">
        <v>198</v>
      </c>
      <c r="BT10" s="207" t="s">
        <v>2</v>
      </c>
      <c r="BU10" s="207" t="s">
        <v>201</v>
      </c>
      <c r="BV10" s="207" t="s">
        <v>203</v>
      </c>
      <c r="BW10" s="207" t="s">
        <v>206</v>
      </c>
      <c r="BX10" s="207" t="s">
        <v>1881</v>
      </c>
      <c r="BY10" s="207" t="s">
        <v>213</v>
      </c>
      <c r="BZ10" s="207">
        <v>130</v>
      </c>
      <c r="CA10" s="207" t="s">
        <v>2</v>
      </c>
      <c r="CB10" s="207" t="s">
        <v>2</v>
      </c>
      <c r="CC10" s="207" t="s">
        <v>2</v>
      </c>
      <c r="CD10" s="207" t="s">
        <v>2</v>
      </c>
      <c r="CE10" s="207" t="s">
        <v>1752</v>
      </c>
      <c r="CF10" s="207" t="s">
        <v>215</v>
      </c>
      <c r="CG10" s="207" t="s">
        <v>216</v>
      </c>
      <c r="CH10" s="207" t="s">
        <v>1882</v>
      </c>
      <c r="CI10" s="207" t="s">
        <v>2</v>
      </c>
      <c r="CJ10" s="207" t="s">
        <v>2</v>
      </c>
      <c r="CK10" s="239">
        <v>5000</v>
      </c>
      <c r="CL10" s="207" t="s">
        <v>2</v>
      </c>
      <c r="CM10" s="207" t="s">
        <v>2</v>
      </c>
      <c r="CN10" s="207" t="s">
        <v>219</v>
      </c>
      <c r="CO10" s="207" t="s">
        <v>1877</v>
      </c>
      <c r="CP10" s="207" t="s">
        <v>221</v>
      </c>
      <c r="CQ10" s="207" t="s">
        <v>1878</v>
      </c>
      <c r="CR10" s="207" t="s">
        <v>222</v>
      </c>
      <c r="CS10" s="207" t="s">
        <v>3</v>
      </c>
      <c r="CT10" s="207" t="s">
        <v>0</v>
      </c>
      <c r="CU10" s="25">
        <v>0</v>
      </c>
      <c r="CV10" s="27" t="str">
        <f t="shared" si="0"/>
        <v>AC4570-4</v>
      </c>
      <c r="CW10" s="186" t="str">
        <f t="shared" si="1"/>
        <v>Fujifilm Business Innovation</v>
      </c>
      <c r="CX10" s="186" t="str">
        <f>IF(Data!D10="E","Entry",IF(Data!D10="L","Low",IF(Data!D10="M","Medium","High")))</f>
        <v>Medium</v>
      </c>
      <c r="CY10" s="187" t="str">
        <f t="shared" si="2"/>
        <v>MFD-Colour_FBI_M_3Y</v>
      </c>
    </row>
    <row r="11" spans="1:103" ht="20.100000000000001" customHeight="1" x14ac:dyDescent="0.2">
      <c r="A11" s="26" t="s">
        <v>2352</v>
      </c>
      <c r="B11" s="26" t="s">
        <v>402</v>
      </c>
      <c r="C11" s="27" t="s">
        <v>2013</v>
      </c>
      <c r="D11" s="184" t="s">
        <v>433</v>
      </c>
      <c r="E11" s="184">
        <v>4</v>
      </c>
      <c r="F11" s="200" t="s">
        <v>156</v>
      </c>
      <c r="G11" s="200" t="s">
        <v>2089</v>
      </c>
      <c r="H11" s="200" t="s">
        <v>2353</v>
      </c>
      <c r="I11" s="200">
        <v>55</v>
      </c>
      <c r="J11" s="201">
        <v>2400000</v>
      </c>
      <c r="K11" s="201">
        <v>271000</v>
      </c>
      <c r="L11" s="287">
        <v>5487.9</v>
      </c>
      <c r="M11" s="293">
        <v>5.9344999999999997E-3</v>
      </c>
      <c r="N11" s="236">
        <v>5.9345000000000002E-2</v>
      </c>
      <c r="O11" s="236">
        <v>9.3500000000000007E-3</v>
      </c>
      <c r="P11" s="236">
        <v>9.2971999999999999E-2</v>
      </c>
      <c r="Q11" s="236">
        <v>1.2474000000000002E-2</v>
      </c>
      <c r="R11" s="236">
        <v>0.12485000000000002</v>
      </c>
      <c r="S11" s="236">
        <v>9.3500000000000007E-3</v>
      </c>
      <c r="T11" s="236">
        <v>9.2971999999999999E-2</v>
      </c>
      <c r="U11" s="236">
        <v>9.3500000000000007E-3</v>
      </c>
      <c r="V11" s="236">
        <v>9.2971999999999999E-2</v>
      </c>
      <c r="W11" s="236">
        <v>9.3500000000000007E-3</v>
      </c>
      <c r="X11" s="236">
        <v>9.2971999999999999E-2</v>
      </c>
      <c r="Y11" s="236">
        <v>9.3500000000000007E-3</v>
      </c>
      <c r="Z11" s="236">
        <v>9.2971999999999999E-2</v>
      </c>
      <c r="AA11" s="236">
        <v>9.3500000000000007E-3</v>
      </c>
      <c r="AB11" s="236">
        <v>9.2971999999999999E-2</v>
      </c>
      <c r="AC11" s="236">
        <v>9.3500000000000007E-3</v>
      </c>
      <c r="AD11" s="236">
        <v>9.2971999999999999E-2</v>
      </c>
      <c r="AE11" s="236">
        <v>9.3500000000000007E-3</v>
      </c>
      <c r="AF11" s="236">
        <v>9.2971999999999999E-2</v>
      </c>
      <c r="AG11" s="236">
        <v>9.3500000000000007E-3</v>
      </c>
      <c r="AH11" s="236">
        <v>9.2971999999999999E-2</v>
      </c>
      <c r="AI11" s="236">
        <v>9.3500000000000007E-3</v>
      </c>
      <c r="AJ11" s="236">
        <v>9.2971999999999999E-2</v>
      </c>
      <c r="AK11" s="236">
        <v>9.3500000000000007E-3</v>
      </c>
      <c r="AL11" s="236">
        <v>9.2971999999999999E-2</v>
      </c>
      <c r="AM11" s="207" t="s">
        <v>158</v>
      </c>
      <c r="AN11" s="207" t="s">
        <v>160</v>
      </c>
      <c r="AO11" s="237" t="s">
        <v>941</v>
      </c>
      <c r="AP11" s="237" t="s">
        <v>941</v>
      </c>
      <c r="AQ11" s="208" t="s">
        <v>1756</v>
      </c>
      <c r="AR11" s="237">
        <v>0</v>
      </c>
      <c r="AS11" s="208" t="s">
        <v>0</v>
      </c>
      <c r="AT11" s="237">
        <v>0</v>
      </c>
      <c r="AU11" s="207" t="s">
        <v>161</v>
      </c>
      <c r="AV11" s="239">
        <v>5000</v>
      </c>
      <c r="AW11" s="240">
        <v>127.91</v>
      </c>
      <c r="AX11" s="208" t="s">
        <v>162</v>
      </c>
      <c r="AY11" s="237" t="s">
        <v>941</v>
      </c>
      <c r="AZ11" s="208">
        <v>385</v>
      </c>
      <c r="BA11" s="208">
        <v>460</v>
      </c>
      <c r="BB11" s="208">
        <v>385</v>
      </c>
      <c r="BC11" s="208">
        <v>385</v>
      </c>
      <c r="BD11" s="208">
        <v>385</v>
      </c>
      <c r="BE11" s="208">
        <v>385</v>
      </c>
      <c r="BF11" s="208">
        <v>385</v>
      </c>
      <c r="BG11" s="208">
        <v>385</v>
      </c>
      <c r="BH11" s="208">
        <v>385</v>
      </c>
      <c r="BI11" s="208">
        <v>385</v>
      </c>
      <c r="BJ11" s="208">
        <v>385</v>
      </c>
      <c r="BK11" s="208">
        <v>385</v>
      </c>
      <c r="BL11" s="207" t="s">
        <v>166</v>
      </c>
      <c r="BM11" s="207" t="s">
        <v>169</v>
      </c>
      <c r="BN11" s="207" t="s">
        <v>1874</v>
      </c>
      <c r="BO11" s="207" t="s">
        <v>180</v>
      </c>
      <c r="BP11" s="207" t="s">
        <v>188</v>
      </c>
      <c r="BQ11" s="207" t="s">
        <v>1880</v>
      </c>
      <c r="BR11" s="207" t="s">
        <v>194</v>
      </c>
      <c r="BS11" s="207" t="s">
        <v>198</v>
      </c>
      <c r="BT11" s="207" t="s">
        <v>2</v>
      </c>
      <c r="BU11" s="207" t="s">
        <v>201</v>
      </c>
      <c r="BV11" s="207" t="s">
        <v>203</v>
      </c>
      <c r="BW11" s="207" t="s">
        <v>206</v>
      </c>
      <c r="BX11" s="207" t="s">
        <v>1881</v>
      </c>
      <c r="BY11" s="207" t="s">
        <v>213</v>
      </c>
      <c r="BZ11" s="207">
        <v>130</v>
      </c>
      <c r="CA11" s="207" t="s">
        <v>2</v>
      </c>
      <c r="CB11" s="207" t="s">
        <v>2</v>
      </c>
      <c r="CC11" s="207" t="s">
        <v>2</v>
      </c>
      <c r="CD11" s="207" t="s">
        <v>2</v>
      </c>
      <c r="CE11" s="207" t="s">
        <v>1752</v>
      </c>
      <c r="CF11" s="207" t="s">
        <v>215</v>
      </c>
      <c r="CG11" s="207" t="s">
        <v>216</v>
      </c>
      <c r="CH11" s="207" t="s">
        <v>1882</v>
      </c>
      <c r="CI11" s="207" t="s">
        <v>2</v>
      </c>
      <c r="CJ11" s="207" t="s">
        <v>2</v>
      </c>
      <c r="CK11" s="239">
        <v>5000</v>
      </c>
      <c r="CL11" s="207" t="s">
        <v>2</v>
      </c>
      <c r="CM11" s="207" t="s">
        <v>2</v>
      </c>
      <c r="CN11" s="207" t="s">
        <v>219</v>
      </c>
      <c r="CO11" s="207" t="s">
        <v>1877</v>
      </c>
      <c r="CP11" s="207" t="s">
        <v>221</v>
      </c>
      <c r="CQ11" s="207" t="s">
        <v>1878</v>
      </c>
      <c r="CR11" s="207" t="s">
        <v>222</v>
      </c>
      <c r="CS11" s="207" t="s">
        <v>3</v>
      </c>
      <c r="CT11" s="207" t="s">
        <v>0</v>
      </c>
      <c r="CU11" s="25">
        <v>0</v>
      </c>
      <c r="CV11" s="27" t="str">
        <f t="shared" si="0"/>
        <v>AC5570-4</v>
      </c>
      <c r="CW11" s="186" t="str">
        <f t="shared" si="1"/>
        <v>Fujifilm Business Innovation</v>
      </c>
      <c r="CX11" s="186" t="str">
        <f>IF(Data!D11="E","Entry",IF(Data!D11="L","Low",IF(Data!D11="M","Medium","High")))</f>
        <v>Medium</v>
      </c>
      <c r="CY11" s="187" t="str">
        <f t="shared" si="2"/>
        <v>MFD-Colour_FBI_M_4Y</v>
      </c>
    </row>
    <row r="12" spans="1:103" ht="19.5" customHeight="1" x14ac:dyDescent="0.2">
      <c r="A12" s="26" t="s">
        <v>2354</v>
      </c>
      <c r="B12" s="26" t="s">
        <v>402</v>
      </c>
      <c r="C12" s="27" t="s">
        <v>2013</v>
      </c>
      <c r="D12" s="184" t="s">
        <v>432</v>
      </c>
      <c r="E12" s="184">
        <v>1</v>
      </c>
      <c r="F12" s="200" t="s">
        <v>157</v>
      </c>
      <c r="G12" s="200" t="s">
        <v>2355</v>
      </c>
      <c r="H12" s="200" t="s">
        <v>2356</v>
      </c>
      <c r="I12" s="200">
        <v>65</v>
      </c>
      <c r="J12" s="201">
        <v>2700000</v>
      </c>
      <c r="K12" s="201">
        <v>342000</v>
      </c>
      <c r="L12" s="287">
        <v>8131.2</v>
      </c>
      <c r="M12" s="293">
        <v>5.9344999999999997E-3</v>
      </c>
      <c r="N12" s="236">
        <v>5.9345000000000002E-2</v>
      </c>
      <c r="O12" s="236">
        <v>9.3500000000000007E-3</v>
      </c>
      <c r="P12" s="236">
        <v>9.2971999999999999E-2</v>
      </c>
      <c r="Q12" s="236">
        <v>1.2474000000000002E-2</v>
      </c>
      <c r="R12" s="236">
        <v>0.12485000000000002</v>
      </c>
      <c r="S12" s="236">
        <v>9.3500000000000007E-3</v>
      </c>
      <c r="T12" s="236">
        <v>9.2971999999999999E-2</v>
      </c>
      <c r="U12" s="236">
        <v>9.3500000000000007E-3</v>
      </c>
      <c r="V12" s="236">
        <v>9.2971999999999999E-2</v>
      </c>
      <c r="W12" s="236">
        <v>9.3500000000000007E-3</v>
      </c>
      <c r="X12" s="236">
        <v>9.2971999999999999E-2</v>
      </c>
      <c r="Y12" s="236">
        <v>9.3500000000000007E-3</v>
      </c>
      <c r="Z12" s="236">
        <v>9.2971999999999999E-2</v>
      </c>
      <c r="AA12" s="236">
        <v>9.3500000000000007E-3</v>
      </c>
      <c r="AB12" s="236">
        <v>9.2971999999999999E-2</v>
      </c>
      <c r="AC12" s="236">
        <v>9.3500000000000007E-3</v>
      </c>
      <c r="AD12" s="236">
        <v>9.2971999999999999E-2</v>
      </c>
      <c r="AE12" s="236">
        <v>9.3500000000000007E-3</v>
      </c>
      <c r="AF12" s="236">
        <v>9.2971999999999999E-2</v>
      </c>
      <c r="AG12" s="236">
        <v>9.3500000000000007E-3</v>
      </c>
      <c r="AH12" s="236">
        <v>9.2971999999999999E-2</v>
      </c>
      <c r="AI12" s="236">
        <v>9.3500000000000007E-3</v>
      </c>
      <c r="AJ12" s="236">
        <v>9.2971999999999999E-2</v>
      </c>
      <c r="AK12" s="236">
        <v>9.3500000000000007E-3</v>
      </c>
      <c r="AL12" s="236">
        <v>9.2971999999999999E-2</v>
      </c>
      <c r="AM12" s="207" t="s">
        <v>158</v>
      </c>
      <c r="AN12" s="207" t="s">
        <v>160</v>
      </c>
      <c r="AO12" s="237" t="s">
        <v>941</v>
      </c>
      <c r="AP12" s="237" t="s">
        <v>941</v>
      </c>
      <c r="AQ12" s="208" t="s">
        <v>1757</v>
      </c>
      <c r="AR12" s="237">
        <v>0</v>
      </c>
      <c r="AS12" s="208" t="s">
        <v>0</v>
      </c>
      <c r="AT12" s="237">
        <v>0</v>
      </c>
      <c r="AU12" s="207" t="s">
        <v>161</v>
      </c>
      <c r="AV12" s="239">
        <v>5000</v>
      </c>
      <c r="AW12" s="240">
        <v>127.91</v>
      </c>
      <c r="AX12" s="208" t="s">
        <v>163</v>
      </c>
      <c r="AY12" s="237" t="s">
        <v>941</v>
      </c>
      <c r="AZ12" s="208">
        <v>385</v>
      </c>
      <c r="BA12" s="208">
        <v>460</v>
      </c>
      <c r="BB12" s="208">
        <v>385</v>
      </c>
      <c r="BC12" s="208">
        <v>385</v>
      </c>
      <c r="BD12" s="208">
        <v>385</v>
      </c>
      <c r="BE12" s="208">
        <v>385</v>
      </c>
      <c r="BF12" s="208">
        <v>385</v>
      </c>
      <c r="BG12" s="208">
        <v>385</v>
      </c>
      <c r="BH12" s="208">
        <v>385</v>
      </c>
      <c r="BI12" s="208">
        <v>385</v>
      </c>
      <c r="BJ12" s="208">
        <v>385</v>
      </c>
      <c r="BK12" s="208">
        <v>385</v>
      </c>
      <c r="BL12" s="207" t="s">
        <v>166</v>
      </c>
      <c r="BM12" s="207" t="s">
        <v>170</v>
      </c>
      <c r="BN12" s="207" t="s">
        <v>172</v>
      </c>
      <c r="BO12" s="207" t="s">
        <v>181</v>
      </c>
      <c r="BP12" s="207" t="s">
        <v>189</v>
      </c>
      <c r="BQ12" s="207" t="s">
        <v>1883</v>
      </c>
      <c r="BR12" s="207" t="s">
        <v>194</v>
      </c>
      <c r="BS12" s="207" t="s">
        <v>198</v>
      </c>
      <c r="BT12" s="207" t="s">
        <v>2</v>
      </c>
      <c r="BU12" s="207" t="s">
        <v>201</v>
      </c>
      <c r="BV12" s="207" t="s">
        <v>203</v>
      </c>
      <c r="BW12" s="207" t="s">
        <v>208</v>
      </c>
      <c r="BX12" s="207" t="s">
        <v>211</v>
      </c>
      <c r="BY12" s="207" t="s">
        <v>213</v>
      </c>
      <c r="BZ12" s="207">
        <v>250</v>
      </c>
      <c r="CA12" s="207" t="s">
        <v>2</v>
      </c>
      <c r="CB12" s="207" t="s">
        <v>2</v>
      </c>
      <c r="CC12" s="207" t="s">
        <v>2</v>
      </c>
      <c r="CD12" s="207" t="s">
        <v>2</v>
      </c>
      <c r="CE12" s="207" t="s">
        <v>1752</v>
      </c>
      <c r="CF12" s="207" t="s">
        <v>215</v>
      </c>
      <c r="CG12" s="207" t="s">
        <v>216</v>
      </c>
      <c r="CH12" s="207" t="s">
        <v>1882</v>
      </c>
      <c r="CI12" s="207" t="s">
        <v>2</v>
      </c>
      <c r="CJ12" s="207" t="s">
        <v>2</v>
      </c>
      <c r="CK12" s="239">
        <v>5000</v>
      </c>
      <c r="CL12" s="207" t="s">
        <v>2</v>
      </c>
      <c r="CM12" s="207" t="s">
        <v>2</v>
      </c>
      <c r="CN12" s="207" t="s">
        <v>219</v>
      </c>
      <c r="CO12" s="207" t="s">
        <v>1877</v>
      </c>
      <c r="CP12" s="207" t="s">
        <v>221</v>
      </c>
      <c r="CQ12" s="207" t="s">
        <v>1878</v>
      </c>
      <c r="CR12" s="207" t="s">
        <v>222</v>
      </c>
      <c r="CS12" s="207" t="s">
        <v>3</v>
      </c>
      <c r="CT12" s="207" t="s">
        <v>0</v>
      </c>
      <c r="CU12" s="25">
        <v>0</v>
      </c>
      <c r="CV12" s="27" t="str">
        <f t="shared" si="0"/>
        <v>AC6570-T</v>
      </c>
      <c r="CW12" s="186" t="str">
        <f t="shared" si="1"/>
        <v>Fujifilm Business Innovation</v>
      </c>
      <c r="CX12" s="186" t="str">
        <f>IF(Data!D12="E","Entry",IF(Data!D12="L","Low",IF(Data!D12="M","Medium","High")))</f>
        <v>High</v>
      </c>
      <c r="CY12" s="187" t="str">
        <f t="shared" si="2"/>
        <v>MFD-Colour_FBI_H_1Y</v>
      </c>
    </row>
    <row r="13" spans="1:103" s="36" customFormat="1" ht="20.100000000000001" customHeight="1" x14ac:dyDescent="0.2">
      <c r="A13" s="26" t="s">
        <v>2357</v>
      </c>
      <c r="B13" s="26" t="s">
        <v>402</v>
      </c>
      <c r="C13" s="27" t="s">
        <v>2013</v>
      </c>
      <c r="D13" s="184" t="s">
        <v>432</v>
      </c>
      <c r="E13" s="184">
        <v>2</v>
      </c>
      <c r="F13" s="200" t="s">
        <v>157</v>
      </c>
      <c r="G13" s="200" t="s">
        <v>2358</v>
      </c>
      <c r="H13" s="200" t="s">
        <v>2090</v>
      </c>
      <c r="I13" s="200">
        <v>70</v>
      </c>
      <c r="J13" s="201">
        <v>3000000</v>
      </c>
      <c r="K13" s="201">
        <v>381000</v>
      </c>
      <c r="L13" s="287">
        <v>9274.1</v>
      </c>
      <c r="M13" s="293">
        <v>5.9344999999999997E-3</v>
      </c>
      <c r="N13" s="236">
        <v>5.9345000000000002E-2</v>
      </c>
      <c r="O13" s="236">
        <v>9.3500000000000007E-3</v>
      </c>
      <c r="P13" s="236">
        <v>9.2971999999999999E-2</v>
      </c>
      <c r="Q13" s="236">
        <v>1.2474000000000002E-2</v>
      </c>
      <c r="R13" s="236">
        <v>0.12485000000000002</v>
      </c>
      <c r="S13" s="236">
        <v>9.4000000000000004E-3</v>
      </c>
      <c r="T13" s="236">
        <v>9.4E-2</v>
      </c>
      <c r="U13" s="236">
        <v>9.4000000000000004E-3</v>
      </c>
      <c r="V13" s="236">
        <v>9.4E-2</v>
      </c>
      <c r="W13" s="236">
        <v>9.4000000000000004E-3</v>
      </c>
      <c r="X13" s="236">
        <v>9.4E-2</v>
      </c>
      <c r="Y13" s="236">
        <v>9.4000000000000004E-3</v>
      </c>
      <c r="Z13" s="236">
        <v>9.4E-2</v>
      </c>
      <c r="AA13" s="236">
        <v>9.4000000000000004E-3</v>
      </c>
      <c r="AB13" s="236">
        <v>9.4E-2</v>
      </c>
      <c r="AC13" s="236">
        <v>9.4000000000000004E-3</v>
      </c>
      <c r="AD13" s="236">
        <v>9.4E-2</v>
      </c>
      <c r="AE13" s="236">
        <v>9.4000000000000004E-3</v>
      </c>
      <c r="AF13" s="236">
        <v>9.4E-2</v>
      </c>
      <c r="AG13" s="236">
        <v>9.4000000000000004E-3</v>
      </c>
      <c r="AH13" s="236">
        <v>9.4E-2</v>
      </c>
      <c r="AI13" s="236">
        <v>9.4000000000000004E-3</v>
      </c>
      <c r="AJ13" s="236">
        <v>9.4E-2</v>
      </c>
      <c r="AK13" s="236">
        <v>9.4000000000000004E-3</v>
      </c>
      <c r="AL13" s="236">
        <v>9.4E-2</v>
      </c>
      <c r="AM13" s="207" t="s">
        <v>158</v>
      </c>
      <c r="AN13" s="207" t="s">
        <v>160</v>
      </c>
      <c r="AO13" s="237" t="s">
        <v>941</v>
      </c>
      <c r="AP13" s="237" t="s">
        <v>941</v>
      </c>
      <c r="AQ13" s="208" t="s">
        <v>1758</v>
      </c>
      <c r="AR13" s="237">
        <v>0</v>
      </c>
      <c r="AS13" s="208" t="s">
        <v>0</v>
      </c>
      <c r="AT13" s="237">
        <v>0</v>
      </c>
      <c r="AU13" s="207" t="s">
        <v>161</v>
      </c>
      <c r="AV13" s="239">
        <v>5000</v>
      </c>
      <c r="AW13" s="240">
        <v>127.91</v>
      </c>
      <c r="AX13" s="208" t="s">
        <v>163</v>
      </c>
      <c r="AY13" s="237" t="s">
        <v>941</v>
      </c>
      <c r="AZ13" s="208">
        <v>385</v>
      </c>
      <c r="BA13" s="208">
        <v>460</v>
      </c>
      <c r="BB13" s="208">
        <v>385</v>
      </c>
      <c r="BC13" s="208">
        <v>385</v>
      </c>
      <c r="BD13" s="208">
        <v>385</v>
      </c>
      <c r="BE13" s="208">
        <v>385</v>
      </c>
      <c r="BF13" s="208">
        <v>385</v>
      </c>
      <c r="BG13" s="208">
        <v>385</v>
      </c>
      <c r="BH13" s="208">
        <v>385</v>
      </c>
      <c r="BI13" s="208">
        <v>385</v>
      </c>
      <c r="BJ13" s="208">
        <v>385</v>
      </c>
      <c r="BK13" s="208">
        <v>385</v>
      </c>
      <c r="BL13" s="207" t="s">
        <v>166</v>
      </c>
      <c r="BM13" s="207" t="s">
        <v>170</v>
      </c>
      <c r="BN13" s="207" t="s">
        <v>172</v>
      </c>
      <c r="BO13" s="207" t="s">
        <v>182</v>
      </c>
      <c r="BP13" s="207" t="s">
        <v>190</v>
      </c>
      <c r="BQ13" s="207" t="s">
        <v>1883</v>
      </c>
      <c r="BR13" s="207" t="s">
        <v>194</v>
      </c>
      <c r="BS13" s="207" t="s">
        <v>198</v>
      </c>
      <c r="BT13" s="207" t="s">
        <v>2</v>
      </c>
      <c r="BU13" s="207" t="s">
        <v>201</v>
      </c>
      <c r="BV13" s="207" t="s">
        <v>203</v>
      </c>
      <c r="BW13" s="207" t="s">
        <v>208</v>
      </c>
      <c r="BX13" s="207" t="s">
        <v>211</v>
      </c>
      <c r="BY13" s="207" t="s">
        <v>213</v>
      </c>
      <c r="BZ13" s="207">
        <v>250</v>
      </c>
      <c r="CA13" s="207" t="s">
        <v>2</v>
      </c>
      <c r="CB13" s="207" t="s">
        <v>2</v>
      </c>
      <c r="CC13" s="207" t="s">
        <v>2</v>
      </c>
      <c r="CD13" s="207" t="s">
        <v>2</v>
      </c>
      <c r="CE13" s="207" t="s">
        <v>1752</v>
      </c>
      <c r="CF13" s="207" t="s">
        <v>215</v>
      </c>
      <c r="CG13" s="207" t="s">
        <v>216</v>
      </c>
      <c r="CH13" s="207" t="s">
        <v>1882</v>
      </c>
      <c r="CI13" s="207" t="s">
        <v>2</v>
      </c>
      <c r="CJ13" s="207" t="s">
        <v>2</v>
      </c>
      <c r="CK13" s="239">
        <v>5000</v>
      </c>
      <c r="CL13" s="207" t="s">
        <v>2</v>
      </c>
      <c r="CM13" s="207" t="s">
        <v>2</v>
      </c>
      <c r="CN13" s="207" t="s">
        <v>219</v>
      </c>
      <c r="CO13" s="207" t="s">
        <v>1877</v>
      </c>
      <c r="CP13" s="207" t="s">
        <v>221</v>
      </c>
      <c r="CQ13" s="207" t="s">
        <v>1878</v>
      </c>
      <c r="CR13" s="207" t="s">
        <v>222</v>
      </c>
      <c r="CS13" s="207" t="s">
        <v>3</v>
      </c>
      <c r="CT13" s="207" t="s">
        <v>0</v>
      </c>
      <c r="CU13" s="25">
        <v>0</v>
      </c>
      <c r="CV13" s="27" t="str">
        <f t="shared" si="0"/>
        <v>AC7070-T</v>
      </c>
      <c r="CW13" s="186" t="str">
        <f t="shared" si="1"/>
        <v>Fujifilm Business Innovation</v>
      </c>
      <c r="CX13" s="186" t="str">
        <f>IF(Data!D13="E","Entry",IF(Data!D13="L","Low",IF(Data!D13="M","Medium","High")))</f>
        <v>High</v>
      </c>
      <c r="CY13" s="187" t="str">
        <f t="shared" si="2"/>
        <v>MFD-Colour_FBI_H_2Y</v>
      </c>
    </row>
    <row r="14" spans="1:103" ht="20.100000000000001" customHeight="1" x14ac:dyDescent="0.2">
      <c r="A14" s="26" t="s">
        <v>2359</v>
      </c>
      <c r="B14" s="26" t="s">
        <v>402</v>
      </c>
      <c r="C14" s="27" t="s">
        <v>2013</v>
      </c>
      <c r="D14" s="184" t="s">
        <v>432</v>
      </c>
      <c r="E14" s="184">
        <v>3</v>
      </c>
      <c r="F14" s="200" t="s">
        <v>157</v>
      </c>
      <c r="G14" s="200" t="s">
        <v>2091</v>
      </c>
      <c r="H14" s="200" t="s">
        <v>2092</v>
      </c>
      <c r="I14" s="200">
        <v>75</v>
      </c>
      <c r="J14" s="201">
        <v>4200000</v>
      </c>
      <c r="K14" s="201">
        <v>422000</v>
      </c>
      <c r="L14" s="287">
        <v>16918</v>
      </c>
      <c r="M14" s="293">
        <v>5.9344999999999997E-3</v>
      </c>
      <c r="N14" s="236">
        <v>5.9345000000000002E-2</v>
      </c>
      <c r="O14" s="236">
        <v>9.3500000000000007E-3</v>
      </c>
      <c r="P14" s="236">
        <v>9.2971999999999999E-2</v>
      </c>
      <c r="Q14" s="236">
        <v>1.2474000000000002E-2</v>
      </c>
      <c r="R14" s="236">
        <v>0.12485000000000002</v>
      </c>
      <c r="S14" s="236">
        <v>9.3500000000000007E-3</v>
      </c>
      <c r="T14" s="236">
        <v>9.2971999999999999E-2</v>
      </c>
      <c r="U14" s="236">
        <v>9.3500000000000007E-3</v>
      </c>
      <c r="V14" s="236">
        <v>9.2971999999999999E-2</v>
      </c>
      <c r="W14" s="236">
        <v>9.3500000000000007E-3</v>
      </c>
      <c r="X14" s="236">
        <v>9.2971999999999999E-2</v>
      </c>
      <c r="Y14" s="236">
        <v>9.3500000000000007E-3</v>
      </c>
      <c r="Z14" s="236">
        <v>9.2971999999999999E-2</v>
      </c>
      <c r="AA14" s="236">
        <v>9.3500000000000007E-3</v>
      </c>
      <c r="AB14" s="236">
        <v>9.2971999999999999E-2</v>
      </c>
      <c r="AC14" s="236">
        <v>9.3500000000000007E-3</v>
      </c>
      <c r="AD14" s="236">
        <v>9.2971999999999999E-2</v>
      </c>
      <c r="AE14" s="236">
        <v>9.3500000000000007E-3</v>
      </c>
      <c r="AF14" s="236">
        <v>9.2971999999999999E-2</v>
      </c>
      <c r="AG14" s="236">
        <v>9.3500000000000007E-3</v>
      </c>
      <c r="AH14" s="236">
        <v>9.2971999999999999E-2</v>
      </c>
      <c r="AI14" s="236">
        <v>9.3500000000000007E-3</v>
      </c>
      <c r="AJ14" s="236">
        <v>9.2971999999999999E-2</v>
      </c>
      <c r="AK14" s="236">
        <v>9.3500000000000007E-3</v>
      </c>
      <c r="AL14" s="236">
        <v>9.2971999999999999E-2</v>
      </c>
      <c r="AM14" s="207" t="s">
        <v>159</v>
      </c>
      <c r="AN14" s="207" t="s">
        <v>1884</v>
      </c>
      <c r="AO14" s="237" t="s">
        <v>941</v>
      </c>
      <c r="AP14" s="237" t="s">
        <v>941</v>
      </c>
      <c r="AQ14" s="208" t="s">
        <v>1759</v>
      </c>
      <c r="AR14" s="237">
        <v>0</v>
      </c>
      <c r="AS14" s="208" t="s">
        <v>0</v>
      </c>
      <c r="AT14" s="237">
        <v>0</v>
      </c>
      <c r="AU14" s="207" t="s">
        <v>161</v>
      </c>
      <c r="AV14" s="239">
        <v>5000</v>
      </c>
      <c r="AW14" s="240">
        <v>127.91</v>
      </c>
      <c r="AX14" s="208" t="s">
        <v>164</v>
      </c>
      <c r="AY14" s="237" t="s">
        <v>941</v>
      </c>
      <c r="AZ14" s="208">
        <v>385</v>
      </c>
      <c r="BA14" s="208">
        <v>460</v>
      </c>
      <c r="BB14" s="208">
        <v>385</v>
      </c>
      <c r="BC14" s="208">
        <v>385</v>
      </c>
      <c r="BD14" s="208">
        <v>385</v>
      </c>
      <c r="BE14" s="208">
        <v>385</v>
      </c>
      <c r="BF14" s="208">
        <v>385</v>
      </c>
      <c r="BG14" s="208">
        <v>385</v>
      </c>
      <c r="BH14" s="208">
        <v>385</v>
      </c>
      <c r="BI14" s="208">
        <v>385</v>
      </c>
      <c r="BJ14" s="208">
        <v>385</v>
      </c>
      <c r="BK14" s="208">
        <v>385</v>
      </c>
      <c r="BL14" s="207" t="s">
        <v>1885</v>
      </c>
      <c r="BM14" s="207" t="s">
        <v>171</v>
      </c>
      <c r="BN14" s="207" t="s">
        <v>173</v>
      </c>
      <c r="BO14" s="207" t="s">
        <v>183</v>
      </c>
      <c r="BP14" s="207" t="s">
        <v>191</v>
      </c>
      <c r="BQ14" s="207" t="s">
        <v>1886</v>
      </c>
      <c r="BR14" s="207" t="s">
        <v>196</v>
      </c>
      <c r="BS14" s="207" t="s">
        <v>199</v>
      </c>
      <c r="BT14" s="207" t="s">
        <v>2</v>
      </c>
      <c r="BU14" s="207" t="s">
        <v>1887</v>
      </c>
      <c r="BV14" s="207" t="s">
        <v>204</v>
      </c>
      <c r="BW14" s="207" t="s">
        <v>209</v>
      </c>
      <c r="BX14" s="207" t="s">
        <v>212</v>
      </c>
      <c r="BY14" s="207">
        <v>250</v>
      </c>
      <c r="BZ14" s="207">
        <v>250</v>
      </c>
      <c r="CA14" s="207" t="s">
        <v>2</v>
      </c>
      <c r="CB14" s="207" t="s">
        <v>2</v>
      </c>
      <c r="CC14" s="207" t="s">
        <v>2</v>
      </c>
      <c r="CD14" s="207">
        <v>0</v>
      </c>
      <c r="CE14" s="207" t="s">
        <v>1752</v>
      </c>
      <c r="CF14" s="207" t="s">
        <v>1888</v>
      </c>
      <c r="CG14" s="207" t="s">
        <v>216</v>
      </c>
      <c r="CH14" s="207" t="s">
        <v>1889</v>
      </c>
      <c r="CI14" s="207" t="s">
        <v>2</v>
      </c>
      <c r="CJ14" s="207" t="s">
        <v>2</v>
      </c>
      <c r="CK14" s="239">
        <v>5000</v>
      </c>
      <c r="CL14" s="207" t="s">
        <v>2</v>
      </c>
      <c r="CM14" s="207" t="s">
        <v>2</v>
      </c>
      <c r="CN14" s="207" t="s">
        <v>220</v>
      </c>
      <c r="CO14" s="207" t="s">
        <v>1890</v>
      </c>
      <c r="CP14" s="207" t="s">
        <v>221</v>
      </c>
      <c r="CQ14" s="207" t="s">
        <v>1891</v>
      </c>
      <c r="CR14" s="207" t="s">
        <v>1892</v>
      </c>
      <c r="CS14" s="207" t="s">
        <v>3</v>
      </c>
      <c r="CT14" s="207" t="s">
        <v>0</v>
      </c>
      <c r="CU14" s="25">
        <v>0</v>
      </c>
      <c r="CV14" s="27" t="str">
        <f t="shared" si="0"/>
        <v>AC7580</v>
      </c>
      <c r="CW14" s="186" t="str">
        <f t="shared" si="1"/>
        <v>Fujifilm Business Innovation</v>
      </c>
      <c r="CX14" s="186" t="str">
        <f>IF(Data!D14="E","Entry",IF(Data!D14="L","Low",IF(Data!D14="M","Medium","High")))</f>
        <v>High</v>
      </c>
      <c r="CY14" s="187" t="str">
        <f t="shared" si="2"/>
        <v>MFD-Colour_FBI_H_3Y</v>
      </c>
    </row>
    <row r="15" spans="1:103" s="36" customFormat="1" ht="20.100000000000001" customHeight="1" x14ac:dyDescent="0.2">
      <c r="A15" s="26" t="s">
        <v>2360</v>
      </c>
      <c r="B15" s="26" t="s">
        <v>402</v>
      </c>
      <c r="C15" s="27" t="s">
        <v>2013</v>
      </c>
      <c r="D15" s="184" t="s">
        <v>432</v>
      </c>
      <c r="E15" s="184">
        <v>4</v>
      </c>
      <c r="F15" s="200" t="s">
        <v>157</v>
      </c>
      <c r="G15" s="200" t="s">
        <v>2093</v>
      </c>
      <c r="H15" s="200" t="s">
        <v>2094</v>
      </c>
      <c r="I15" s="200">
        <v>80</v>
      </c>
      <c r="J15" s="201">
        <v>4200000</v>
      </c>
      <c r="K15" s="201">
        <v>475000</v>
      </c>
      <c r="L15" s="287">
        <v>21764.6</v>
      </c>
      <c r="M15" s="293">
        <v>5.9344999999999997E-3</v>
      </c>
      <c r="N15" s="236">
        <v>5.9345000000000002E-2</v>
      </c>
      <c r="O15" s="296">
        <v>9.3500000000000007E-3</v>
      </c>
      <c r="P15" s="236">
        <v>9.2971999999999999E-2</v>
      </c>
      <c r="Q15" s="236">
        <v>1.2474000000000002E-2</v>
      </c>
      <c r="R15" s="236">
        <v>0.12485000000000002</v>
      </c>
      <c r="S15" s="236">
        <v>9.3500000000000007E-3</v>
      </c>
      <c r="T15" s="236">
        <v>9.2971999999999999E-2</v>
      </c>
      <c r="U15" s="236">
        <v>9.3500000000000007E-3</v>
      </c>
      <c r="V15" s="236">
        <v>9.2971999999999999E-2</v>
      </c>
      <c r="W15" s="236">
        <v>9.3500000000000007E-3</v>
      </c>
      <c r="X15" s="236">
        <v>9.2971999999999999E-2</v>
      </c>
      <c r="Y15" s="236">
        <v>9.3500000000000007E-3</v>
      </c>
      <c r="Z15" s="236">
        <v>9.2971999999999999E-2</v>
      </c>
      <c r="AA15" s="236">
        <v>9.3500000000000007E-3</v>
      </c>
      <c r="AB15" s="236">
        <v>9.2971999999999999E-2</v>
      </c>
      <c r="AC15" s="236">
        <v>9.3500000000000007E-3</v>
      </c>
      <c r="AD15" s="236">
        <v>9.2971999999999999E-2</v>
      </c>
      <c r="AE15" s="236">
        <v>9.3500000000000007E-3</v>
      </c>
      <c r="AF15" s="236">
        <v>9.2971999999999999E-2</v>
      </c>
      <c r="AG15" s="236">
        <v>9.3500000000000007E-3</v>
      </c>
      <c r="AH15" s="236">
        <v>9.2971999999999999E-2</v>
      </c>
      <c r="AI15" s="236">
        <v>9.3500000000000007E-3</v>
      </c>
      <c r="AJ15" s="236">
        <v>9.2971999999999999E-2</v>
      </c>
      <c r="AK15" s="236">
        <v>9.3500000000000007E-3</v>
      </c>
      <c r="AL15" s="236">
        <v>9.2971999999999999E-2</v>
      </c>
      <c r="AM15" s="207" t="s">
        <v>1893</v>
      </c>
      <c r="AN15" s="207" t="s">
        <v>1894</v>
      </c>
      <c r="AO15" s="237" t="s">
        <v>941</v>
      </c>
      <c r="AP15" s="237" t="s">
        <v>941</v>
      </c>
      <c r="AQ15" s="208" t="s">
        <v>1895</v>
      </c>
      <c r="AR15" s="237">
        <v>0</v>
      </c>
      <c r="AS15" s="208" t="s">
        <v>0</v>
      </c>
      <c r="AT15" s="237">
        <v>0</v>
      </c>
      <c r="AU15" s="207" t="s">
        <v>161</v>
      </c>
      <c r="AV15" s="239">
        <v>5000</v>
      </c>
      <c r="AW15" s="240">
        <v>127.91</v>
      </c>
      <c r="AX15" s="208" t="s">
        <v>164</v>
      </c>
      <c r="AY15" s="237" t="s">
        <v>941</v>
      </c>
      <c r="AZ15" s="208">
        <v>385</v>
      </c>
      <c r="BA15" s="208">
        <v>460</v>
      </c>
      <c r="BB15" s="208">
        <v>385</v>
      </c>
      <c r="BC15" s="208">
        <v>385</v>
      </c>
      <c r="BD15" s="208">
        <v>385</v>
      </c>
      <c r="BE15" s="208">
        <v>385</v>
      </c>
      <c r="BF15" s="208">
        <v>385</v>
      </c>
      <c r="BG15" s="208">
        <v>385</v>
      </c>
      <c r="BH15" s="208">
        <v>385</v>
      </c>
      <c r="BI15" s="208">
        <v>385</v>
      </c>
      <c r="BJ15" s="208">
        <v>385</v>
      </c>
      <c r="BK15" s="208">
        <v>385</v>
      </c>
      <c r="BL15" s="207" t="s">
        <v>1896</v>
      </c>
      <c r="BM15" s="207" t="s">
        <v>1897</v>
      </c>
      <c r="BN15" s="207" t="s">
        <v>174</v>
      </c>
      <c r="BO15" s="207" t="s">
        <v>184</v>
      </c>
      <c r="BP15" s="207" t="s">
        <v>1898</v>
      </c>
      <c r="BQ15" s="207" t="s">
        <v>1899</v>
      </c>
      <c r="BR15" s="207" t="s">
        <v>197</v>
      </c>
      <c r="BS15" s="207" t="s">
        <v>136</v>
      </c>
      <c r="BT15" s="207" t="s">
        <v>2</v>
      </c>
      <c r="BU15" s="207" t="s">
        <v>1900</v>
      </c>
      <c r="BV15" s="207" t="s">
        <v>1901</v>
      </c>
      <c r="BW15" s="239" t="s">
        <v>209</v>
      </c>
      <c r="BX15" s="239" t="s">
        <v>1902</v>
      </c>
      <c r="BY15" s="207">
        <v>250</v>
      </c>
      <c r="BZ15" s="207">
        <v>250</v>
      </c>
      <c r="CA15" s="207" t="s">
        <v>3</v>
      </c>
      <c r="CB15" s="207" t="s">
        <v>2</v>
      </c>
      <c r="CC15" s="207" t="s">
        <v>2</v>
      </c>
      <c r="CD15" s="207" t="s">
        <v>2</v>
      </c>
      <c r="CE15" s="207" t="s">
        <v>1752</v>
      </c>
      <c r="CF15" s="207" t="s">
        <v>1903</v>
      </c>
      <c r="CG15" s="207" t="s">
        <v>2095</v>
      </c>
      <c r="CH15" s="207" t="s">
        <v>217</v>
      </c>
      <c r="CI15" s="207" t="s">
        <v>2</v>
      </c>
      <c r="CJ15" s="207" t="s">
        <v>2</v>
      </c>
      <c r="CK15" s="239">
        <v>5000</v>
      </c>
      <c r="CL15" s="207" t="s">
        <v>2</v>
      </c>
      <c r="CM15" s="207" t="s">
        <v>2</v>
      </c>
      <c r="CN15" s="207" t="s">
        <v>220</v>
      </c>
      <c r="CO15" s="207" t="s">
        <v>1904</v>
      </c>
      <c r="CP15" s="207" t="s">
        <v>1905</v>
      </c>
      <c r="CQ15" s="207" t="s">
        <v>1906</v>
      </c>
      <c r="CR15" s="207" t="s">
        <v>1907</v>
      </c>
      <c r="CS15" s="207" t="s">
        <v>3</v>
      </c>
      <c r="CT15" s="207" t="s">
        <v>0</v>
      </c>
      <c r="CU15" s="25">
        <v>0</v>
      </c>
      <c r="CV15" s="27" t="str">
        <f t="shared" si="0"/>
        <v>AC8180</v>
      </c>
      <c r="CW15" s="186" t="str">
        <f t="shared" si="1"/>
        <v>Fujifilm Business Innovation</v>
      </c>
      <c r="CX15" s="186" t="str">
        <f>IF(Data!D15="E","Entry",IF(Data!D15="L","Low",IF(Data!D15="M","Medium","High")))</f>
        <v>High</v>
      </c>
      <c r="CY15" s="187" t="str">
        <f t="shared" si="2"/>
        <v>MFD-Colour_FBI_H_4Y</v>
      </c>
    </row>
    <row r="16" spans="1:103" s="36" customFormat="1" ht="20.100000000000001" customHeight="1" x14ac:dyDescent="0.2">
      <c r="A16" s="26" t="s">
        <v>441</v>
      </c>
      <c r="B16" s="26" t="s">
        <v>402</v>
      </c>
      <c r="C16" s="27" t="s">
        <v>10</v>
      </c>
      <c r="D16" s="184" t="s">
        <v>403</v>
      </c>
      <c r="E16" s="184">
        <v>1</v>
      </c>
      <c r="F16" s="203" t="s">
        <v>154</v>
      </c>
      <c r="G16" s="200" t="s">
        <v>1993</v>
      </c>
      <c r="H16" s="200" t="s">
        <v>1994</v>
      </c>
      <c r="I16" s="200">
        <v>22</v>
      </c>
      <c r="J16" s="201">
        <v>600000</v>
      </c>
      <c r="K16" s="201">
        <v>10000</v>
      </c>
      <c r="L16" s="284">
        <f>[1]Sheet1!C2*1.07</f>
        <v>2792.4325000000003</v>
      </c>
      <c r="M16" s="236">
        <v>5.4999999999999997E-3</v>
      </c>
      <c r="N16" s="236">
        <v>5.3900000000000003E-2</v>
      </c>
      <c r="O16" s="236">
        <v>1.6500000000000001E-2</v>
      </c>
      <c r="P16" s="236">
        <v>0.154</v>
      </c>
      <c r="Q16" s="236">
        <v>2.1999999999999999E-2</v>
      </c>
      <c r="R16" s="236">
        <v>0.17599999999999999</v>
      </c>
      <c r="S16" s="236">
        <v>1.54E-2</v>
      </c>
      <c r="T16" s="236">
        <v>0.13200000000000001</v>
      </c>
      <c r="U16" s="236">
        <v>1.0999999999999999E-2</v>
      </c>
      <c r="V16" s="236">
        <v>8.7999999999999995E-2</v>
      </c>
      <c r="W16" s="236">
        <v>1.43E-2</v>
      </c>
      <c r="X16" s="236">
        <v>0.11</v>
      </c>
      <c r="Y16" s="236">
        <v>2.1999999999999999E-2</v>
      </c>
      <c r="Z16" s="236">
        <v>0.17599999999999999</v>
      </c>
      <c r="AA16" s="236">
        <v>2.0899999999999998E-2</v>
      </c>
      <c r="AB16" s="236">
        <v>0.154</v>
      </c>
      <c r="AC16" s="236">
        <v>1.21E-2</v>
      </c>
      <c r="AD16" s="236">
        <v>0.11</v>
      </c>
      <c r="AE16" s="236">
        <v>2.0899999999999998E-2</v>
      </c>
      <c r="AF16" s="236">
        <v>0.154</v>
      </c>
      <c r="AG16" s="236">
        <v>1.9800000000000002E-2</v>
      </c>
      <c r="AH16" s="236">
        <v>0.154</v>
      </c>
      <c r="AI16" s="236">
        <v>2.1999999999999999E-2</v>
      </c>
      <c r="AJ16" s="236">
        <v>0.17599999999999999</v>
      </c>
      <c r="AK16" s="236">
        <v>1.9800000000000002E-2</v>
      </c>
      <c r="AL16" s="236">
        <v>0.154</v>
      </c>
      <c r="AM16" s="236" t="s">
        <v>38</v>
      </c>
      <c r="AN16" s="236"/>
      <c r="AO16" s="208">
        <v>37.4</v>
      </c>
      <c r="AP16" s="208">
        <v>74.8</v>
      </c>
      <c r="AQ16" s="241">
        <v>80000</v>
      </c>
      <c r="AR16" s="208">
        <v>88</v>
      </c>
      <c r="AS16" s="208" t="s">
        <v>0</v>
      </c>
      <c r="AT16" s="208" t="s">
        <v>0</v>
      </c>
      <c r="AU16" s="208" t="s">
        <v>39</v>
      </c>
      <c r="AV16" s="239">
        <v>15000</v>
      </c>
      <c r="AW16" s="208">
        <v>135.30000000000001</v>
      </c>
      <c r="AX16" s="208" t="s">
        <v>40</v>
      </c>
      <c r="AY16" s="208">
        <v>30.8</v>
      </c>
      <c r="AZ16" s="208">
        <v>1320</v>
      </c>
      <c r="BA16" s="208">
        <v>1870</v>
      </c>
      <c r="BB16" s="208">
        <v>1067</v>
      </c>
      <c r="BC16" s="208">
        <v>297</v>
      </c>
      <c r="BD16" s="208">
        <v>1276</v>
      </c>
      <c r="BE16" s="208">
        <v>1870</v>
      </c>
      <c r="BF16" s="208">
        <v>1617</v>
      </c>
      <c r="BG16" s="208">
        <v>1122</v>
      </c>
      <c r="BH16" s="208">
        <v>1837</v>
      </c>
      <c r="BI16" s="208">
        <v>1276</v>
      </c>
      <c r="BJ16" s="208">
        <v>1870</v>
      </c>
      <c r="BK16" s="208">
        <v>1276</v>
      </c>
      <c r="BL16" s="207" t="s">
        <v>43</v>
      </c>
      <c r="BM16" s="207" t="s">
        <v>44</v>
      </c>
      <c r="BN16" s="207" t="s">
        <v>45</v>
      </c>
      <c r="BO16" s="239" t="s">
        <v>32</v>
      </c>
      <c r="BP16" s="239">
        <v>600000</v>
      </c>
      <c r="BQ16" s="207" t="s">
        <v>46</v>
      </c>
      <c r="BR16" s="207" t="s">
        <v>47</v>
      </c>
      <c r="BS16" s="207" t="s">
        <v>47</v>
      </c>
      <c r="BT16" s="207" t="s">
        <v>2</v>
      </c>
      <c r="BU16" s="207" t="s">
        <v>48</v>
      </c>
      <c r="BV16" s="207" t="s">
        <v>49</v>
      </c>
      <c r="BW16" s="207" t="s">
        <v>50</v>
      </c>
      <c r="BX16" s="239">
        <v>3700</v>
      </c>
      <c r="BY16" s="207" t="s">
        <v>51</v>
      </c>
      <c r="BZ16" s="207" t="s">
        <v>52</v>
      </c>
      <c r="CA16" s="207" t="s">
        <v>2</v>
      </c>
      <c r="CB16" s="207" t="s">
        <v>2</v>
      </c>
      <c r="CC16" s="207" t="s">
        <v>2</v>
      </c>
      <c r="CD16" s="207" t="s">
        <v>2</v>
      </c>
      <c r="CE16" s="207" t="s">
        <v>53</v>
      </c>
      <c r="CF16" s="207" t="s">
        <v>54</v>
      </c>
      <c r="CG16" s="207" t="s">
        <v>55</v>
      </c>
      <c r="CH16" s="207" t="s">
        <v>56</v>
      </c>
      <c r="CI16" s="207" t="s">
        <v>2</v>
      </c>
      <c r="CJ16" s="207" t="s">
        <v>2</v>
      </c>
      <c r="CK16" s="207" t="s">
        <v>57</v>
      </c>
      <c r="CL16" s="207" t="s">
        <v>2</v>
      </c>
      <c r="CM16" s="207" t="s">
        <v>2</v>
      </c>
      <c r="CN16" s="207" t="s">
        <v>58</v>
      </c>
      <c r="CO16" s="207" t="s">
        <v>59</v>
      </c>
      <c r="CP16" s="207" t="s">
        <v>60</v>
      </c>
      <c r="CQ16" s="207" t="s">
        <v>61</v>
      </c>
      <c r="CR16" s="207" t="s">
        <v>62</v>
      </c>
      <c r="CS16" s="207" t="s">
        <v>3</v>
      </c>
      <c r="CT16" s="207">
        <v>0</v>
      </c>
      <c r="CU16" s="25">
        <v>0</v>
      </c>
      <c r="CV16" s="27" t="str">
        <f t="shared" si="0"/>
        <v>C227ib-WA</v>
      </c>
      <c r="CW16" s="186" t="str">
        <f t="shared" si="1"/>
        <v>Konica Minolta</v>
      </c>
      <c r="CX16" s="186" t="str">
        <f>IF(Data!D16="E","Entry",IF(Data!D16="L","Low",IF(Data!D16="M","Medium","High")))</f>
        <v>Entry</v>
      </c>
      <c r="CY16" s="187" t="str">
        <f t="shared" si="2"/>
        <v>MFD-Colour_Ko_E_1Y</v>
      </c>
    </row>
    <row r="17" spans="1:103" s="36" customFormat="1" ht="20.100000000000001" customHeight="1" x14ac:dyDescent="0.2">
      <c r="A17" s="26" t="s">
        <v>442</v>
      </c>
      <c r="B17" s="26" t="s">
        <v>402</v>
      </c>
      <c r="C17" s="27" t="s">
        <v>10</v>
      </c>
      <c r="D17" s="184" t="s">
        <v>403</v>
      </c>
      <c r="E17" s="184">
        <v>2</v>
      </c>
      <c r="F17" s="184" t="s">
        <v>154</v>
      </c>
      <c r="G17" s="200" t="s">
        <v>1981</v>
      </c>
      <c r="H17" s="200" t="s">
        <v>1982</v>
      </c>
      <c r="I17" s="200">
        <v>25</v>
      </c>
      <c r="J17" s="201">
        <v>1000000</v>
      </c>
      <c r="K17" s="201">
        <v>16667</v>
      </c>
      <c r="L17" s="284">
        <f>[1]Sheet1!C3*1.07</f>
        <v>3569.2525000000001</v>
      </c>
      <c r="M17" s="28">
        <v>5.4999999999999997E-3</v>
      </c>
      <c r="N17" s="28">
        <v>5.3900000000000003E-2</v>
      </c>
      <c r="O17" s="28">
        <v>1.6500000000000001E-2</v>
      </c>
      <c r="P17" s="28">
        <v>0.154</v>
      </c>
      <c r="Q17" s="28">
        <v>2.1999999999999999E-2</v>
      </c>
      <c r="R17" s="28">
        <v>0.17599999999999999</v>
      </c>
      <c r="S17" s="28">
        <v>1.54E-2</v>
      </c>
      <c r="T17" s="28">
        <v>0.13200000000000001</v>
      </c>
      <c r="U17" s="28">
        <v>1.0999999999999999E-2</v>
      </c>
      <c r="V17" s="28">
        <v>8.7999999999999995E-2</v>
      </c>
      <c r="W17" s="28">
        <v>1.43E-2</v>
      </c>
      <c r="X17" s="28">
        <v>0.11</v>
      </c>
      <c r="Y17" s="28">
        <v>2.1999999999999999E-2</v>
      </c>
      <c r="Z17" s="28">
        <v>0.17599999999999999</v>
      </c>
      <c r="AA17" s="28">
        <v>2.0899999999999998E-2</v>
      </c>
      <c r="AB17" s="28">
        <v>0.154</v>
      </c>
      <c r="AC17" s="28">
        <v>1.0999999999999999E-2</v>
      </c>
      <c r="AD17" s="28">
        <v>0.11</v>
      </c>
      <c r="AE17" s="28">
        <v>2.0899999999999998E-2</v>
      </c>
      <c r="AF17" s="28">
        <v>0.14299999999999999</v>
      </c>
      <c r="AG17" s="28">
        <v>1.9800000000000002E-2</v>
      </c>
      <c r="AH17" s="28">
        <v>0.154</v>
      </c>
      <c r="AI17" s="28">
        <v>2.1999999999999999E-2</v>
      </c>
      <c r="AJ17" s="28">
        <v>0.17599999999999999</v>
      </c>
      <c r="AK17" s="28">
        <v>1.9800000000000002E-2</v>
      </c>
      <c r="AL17" s="28">
        <v>0.154</v>
      </c>
      <c r="AM17" s="28" t="s">
        <v>77</v>
      </c>
      <c r="AN17" s="28"/>
      <c r="AO17" s="32">
        <v>40.700000000000003</v>
      </c>
      <c r="AP17" s="32">
        <v>91.3</v>
      </c>
      <c r="AQ17" s="34">
        <v>90000</v>
      </c>
      <c r="AR17" s="32">
        <v>81.400000000000006</v>
      </c>
      <c r="AS17" s="32" t="s">
        <v>0</v>
      </c>
      <c r="AT17" s="32" t="s">
        <v>0</v>
      </c>
      <c r="AU17" s="32" t="s">
        <v>39</v>
      </c>
      <c r="AV17" s="31">
        <v>15000</v>
      </c>
      <c r="AW17" s="32">
        <v>135.30000000000001</v>
      </c>
      <c r="AX17" s="32" t="s">
        <v>40</v>
      </c>
      <c r="AY17" s="32">
        <v>30.8</v>
      </c>
      <c r="AZ17" s="32">
        <v>1430</v>
      </c>
      <c r="BA17" s="32">
        <v>2530</v>
      </c>
      <c r="BB17" s="32">
        <v>1144</v>
      </c>
      <c r="BC17" s="32">
        <v>374</v>
      </c>
      <c r="BD17" s="32">
        <v>1430</v>
      </c>
      <c r="BE17" s="32">
        <v>2530</v>
      </c>
      <c r="BF17" s="32">
        <v>1914</v>
      </c>
      <c r="BG17" s="32">
        <v>1243</v>
      </c>
      <c r="BH17" s="32">
        <v>2530</v>
      </c>
      <c r="BI17" s="32">
        <v>1430</v>
      </c>
      <c r="BJ17" s="32">
        <v>2530</v>
      </c>
      <c r="BK17" s="32">
        <v>1430</v>
      </c>
      <c r="BL17" s="30" t="s">
        <v>81</v>
      </c>
      <c r="BM17" s="30" t="s">
        <v>85</v>
      </c>
      <c r="BN17" s="30" t="s">
        <v>45</v>
      </c>
      <c r="BO17" s="31" t="s">
        <v>96</v>
      </c>
      <c r="BP17" s="31">
        <v>800000</v>
      </c>
      <c r="BQ17" s="30" t="s">
        <v>103</v>
      </c>
      <c r="BR17" s="30" t="s">
        <v>47</v>
      </c>
      <c r="BS17" s="30" t="s">
        <v>47</v>
      </c>
      <c r="BT17" s="30" t="s">
        <v>2</v>
      </c>
      <c r="BU17" s="30" t="s">
        <v>48</v>
      </c>
      <c r="BV17" s="30" t="s">
        <v>115</v>
      </c>
      <c r="BW17" s="30" t="s">
        <v>118</v>
      </c>
      <c r="BX17" s="31">
        <v>6650</v>
      </c>
      <c r="BY17" s="30" t="s">
        <v>120</v>
      </c>
      <c r="BZ17" s="30" t="s">
        <v>52</v>
      </c>
      <c r="CA17" s="30" t="s">
        <v>2</v>
      </c>
      <c r="CB17" s="30" t="s">
        <v>2</v>
      </c>
      <c r="CC17" s="30" t="s">
        <v>2</v>
      </c>
      <c r="CD17" s="30" t="s">
        <v>2</v>
      </c>
      <c r="CE17" s="30" t="s">
        <v>124</v>
      </c>
      <c r="CF17" s="30" t="s">
        <v>126</v>
      </c>
      <c r="CG17" s="30" t="s">
        <v>55</v>
      </c>
      <c r="CH17" s="30" t="s">
        <v>56</v>
      </c>
      <c r="CI17" s="30" t="s">
        <v>2</v>
      </c>
      <c r="CJ17" s="30" t="s">
        <v>2</v>
      </c>
      <c r="CK17" s="30" t="s">
        <v>57</v>
      </c>
      <c r="CL17" s="30" t="s">
        <v>2</v>
      </c>
      <c r="CM17" s="30" t="s">
        <v>2</v>
      </c>
      <c r="CN17" s="30" t="s">
        <v>58</v>
      </c>
      <c r="CO17" s="30" t="s">
        <v>59</v>
      </c>
      <c r="CP17" s="30" t="s">
        <v>139</v>
      </c>
      <c r="CQ17" s="30" t="s">
        <v>144</v>
      </c>
      <c r="CR17" s="30" t="s">
        <v>149</v>
      </c>
      <c r="CS17" s="30" t="s">
        <v>3</v>
      </c>
      <c r="CT17" s="30">
        <v>0</v>
      </c>
      <c r="CU17" s="26">
        <v>0</v>
      </c>
      <c r="CV17" s="27" t="str">
        <f t="shared" si="0"/>
        <v>C250i-WA</v>
      </c>
      <c r="CW17" s="186" t="str">
        <f t="shared" si="1"/>
        <v>Konica Minolta</v>
      </c>
      <c r="CX17" s="186" t="str">
        <f>IF(Data!D17="E","Entry",IF(Data!D17="L","Low",IF(Data!D17="M","Medium","High")))</f>
        <v>Entry</v>
      </c>
      <c r="CY17" s="187" t="str">
        <f t="shared" si="2"/>
        <v>MFD-Colour_Ko_E_2Y</v>
      </c>
    </row>
    <row r="18" spans="1:103" ht="20.100000000000001" customHeight="1" x14ac:dyDescent="0.2">
      <c r="A18" s="26" t="s">
        <v>443</v>
      </c>
      <c r="B18" s="26" t="s">
        <v>402</v>
      </c>
      <c r="C18" s="27" t="s">
        <v>10</v>
      </c>
      <c r="D18" s="184" t="s">
        <v>435</v>
      </c>
      <c r="E18" s="184">
        <v>1</v>
      </c>
      <c r="F18" s="184" t="s">
        <v>155</v>
      </c>
      <c r="G18" s="200" t="s">
        <v>1983</v>
      </c>
      <c r="H18" s="200" t="s">
        <v>1984</v>
      </c>
      <c r="I18" s="200">
        <v>30</v>
      </c>
      <c r="J18" s="201">
        <v>1500000</v>
      </c>
      <c r="K18" s="201">
        <v>25000</v>
      </c>
      <c r="L18" s="284">
        <f>[1]Sheet1!C4*1.07</f>
        <v>3781.1125000000002</v>
      </c>
      <c r="M18" s="28">
        <v>5.4999999999999997E-3</v>
      </c>
      <c r="N18" s="28">
        <v>5.3900000000000003E-2</v>
      </c>
      <c r="O18" s="28">
        <v>1.6500000000000001E-2</v>
      </c>
      <c r="P18" s="28">
        <v>0.154</v>
      </c>
      <c r="Q18" s="28">
        <v>2.1999999999999999E-2</v>
      </c>
      <c r="R18" s="28">
        <v>0.17599999999999999</v>
      </c>
      <c r="S18" s="28">
        <v>1.54E-2</v>
      </c>
      <c r="T18" s="28">
        <v>0.13200000000000001</v>
      </c>
      <c r="U18" s="28">
        <v>1.0999999999999999E-2</v>
      </c>
      <c r="V18" s="28">
        <v>8.7999999999999995E-2</v>
      </c>
      <c r="W18" s="28">
        <v>1.43E-2</v>
      </c>
      <c r="X18" s="28">
        <v>8.7999999999999995E-2</v>
      </c>
      <c r="Y18" s="28">
        <v>2.1999999999999999E-2</v>
      </c>
      <c r="Z18" s="28">
        <v>0.17599999999999999</v>
      </c>
      <c r="AA18" s="28">
        <v>2.0899999999999998E-2</v>
      </c>
      <c r="AB18" s="28">
        <v>0.154</v>
      </c>
      <c r="AC18" s="28">
        <v>1.0999999999999999E-2</v>
      </c>
      <c r="AD18" s="28">
        <v>0.11</v>
      </c>
      <c r="AE18" s="28">
        <v>1.9800000000000002E-2</v>
      </c>
      <c r="AF18" s="28">
        <v>0.14299999999999999</v>
      </c>
      <c r="AG18" s="28">
        <v>1.8700000000000001E-2</v>
      </c>
      <c r="AH18" s="28">
        <v>0.14299999999999999</v>
      </c>
      <c r="AI18" s="28">
        <v>2.1999999999999999E-2</v>
      </c>
      <c r="AJ18" s="28">
        <v>0.17599999999999999</v>
      </c>
      <c r="AK18" s="28">
        <v>1.8700000000000001E-2</v>
      </c>
      <c r="AL18" s="28">
        <v>0.14299999999999999</v>
      </c>
      <c r="AM18" s="28" t="s">
        <v>77</v>
      </c>
      <c r="AN18" s="28"/>
      <c r="AO18" s="32">
        <v>40.700000000000003</v>
      </c>
      <c r="AP18" s="32">
        <v>91.3</v>
      </c>
      <c r="AQ18" s="34">
        <v>120000</v>
      </c>
      <c r="AR18" s="32">
        <v>81.400000000000006</v>
      </c>
      <c r="AS18" s="32" t="s">
        <v>0</v>
      </c>
      <c r="AT18" s="32" t="s">
        <v>0</v>
      </c>
      <c r="AU18" s="32" t="s">
        <v>39</v>
      </c>
      <c r="AV18" s="31">
        <v>15000</v>
      </c>
      <c r="AW18" s="32">
        <v>135.30000000000001</v>
      </c>
      <c r="AX18" s="32" t="s">
        <v>40</v>
      </c>
      <c r="AY18" s="32">
        <v>30.8</v>
      </c>
      <c r="AZ18" s="32">
        <v>1540</v>
      </c>
      <c r="BA18" s="32">
        <v>2640</v>
      </c>
      <c r="BB18" s="32">
        <v>1166</v>
      </c>
      <c r="BC18" s="32">
        <v>396</v>
      </c>
      <c r="BD18" s="32">
        <v>1463</v>
      </c>
      <c r="BE18" s="32">
        <v>2640</v>
      </c>
      <c r="BF18" s="32">
        <v>1936</v>
      </c>
      <c r="BG18" s="32">
        <v>1276</v>
      </c>
      <c r="BH18" s="32">
        <v>2552</v>
      </c>
      <c r="BI18" s="32">
        <v>1463</v>
      </c>
      <c r="BJ18" s="32">
        <v>2640</v>
      </c>
      <c r="BK18" s="32">
        <v>1463</v>
      </c>
      <c r="BL18" s="30" t="s">
        <v>81</v>
      </c>
      <c r="BM18" s="30" t="s">
        <v>86</v>
      </c>
      <c r="BN18" s="30" t="s">
        <v>45</v>
      </c>
      <c r="BO18" s="31" t="s">
        <v>97</v>
      </c>
      <c r="BP18" s="31">
        <v>1000000</v>
      </c>
      <c r="BQ18" s="30" t="s">
        <v>104</v>
      </c>
      <c r="BR18" s="30" t="s">
        <v>47</v>
      </c>
      <c r="BS18" s="30" t="s">
        <v>47</v>
      </c>
      <c r="BT18" s="30" t="s">
        <v>2</v>
      </c>
      <c r="BU18" s="30" t="s">
        <v>48</v>
      </c>
      <c r="BV18" s="30" t="s">
        <v>115</v>
      </c>
      <c r="BW18" s="30" t="s">
        <v>118</v>
      </c>
      <c r="BX18" s="31">
        <v>6650</v>
      </c>
      <c r="BY18" s="30" t="s">
        <v>120</v>
      </c>
      <c r="BZ18" s="30" t="s">
        <v>52</v>
      </c>
      <c r="CA18" s="30" t="s">
        <v>2</v>
      </c>
      <c r="CB18" s="30" t="s">
        <v>2</v>
      </c>
      <c r="CC18" s="30" t="s">
        <v>2</v>
      </c>
      <c r="CD18" s="30" t="s">
        <v>2</v>
      </c>
      <c r="CE18" s="30" t="s">
        <v>124</v>
      </c>
      <c r="CF18" s="30" t="s">
        <v>127</v>
      </c>
      <c r="CG18" s="30" t="s">
        <v>55</v>
      </c>
      <c r="CH18" s="30" t="s">
        <v>56</v>
      </c>
      <c r="CI18" s="30" t="s">
        <v>2</v>
      </c>
      <c r="CJ18" s="30" t="s">
        <v>2</v>
      </c>
      <c r="CK18" s="30" t="s">
        <v>57</v>
      </c>
      <c r="CL18" s="30" t="s">
        <v>2</v>
      </c>
      <c r="CM18" s="30" t="s">
        <v>2</v>
      </c>
      <c r="CN18" s="30" t="s">
        <v>58</v>
      </c>
      <c r="CO18" s="30" t="s">
        <v>59</v>
      </c>
      <c r="CP18" s="30" t="s">
        <v>139</v>
      </c>
      <c r="CQ18" s="30" t="s">
        <v>144</v>
      </c>
      <c r="CR18" s="30" t="s">
        <v>149</v>
      </c>
      <c r="CS18" s="30" t="s">
        <v>3</v>
      </c>
      <c r="CT18" s="30">
        <v>0</v>
      </c>
      <c r="CU18" s="26">
        <v>0</v>
      </c>
      <c r="CV18" s="27" t="str">
        <f t="shared" si="0"/>
        <v>C300i-WA</v>
      </c>
      <c r="CW18" s="186" t="str">
        <f t="shared" si="1"/>
        <v>Konica Minolta</v>
      </c>
      <c r="CX18" s="186" t="str">
        <f>IF(Data!D18="E","Entry",IF(Data!D18="L","Low",IF(Data!D18="M","Medium","High")))</f>
        <v>Low</v>
      </c>
      <c r="CY18" s="187" t="str">
        <f t="shared" si="2"/>
        <v>MFD-Colour_Ko_L_1Y</v>
      </c>
    </row>
    <row r="19" spans="1:103" ht="20.100000000000001" customHeight="1" x14ac:dyDescent="0.2">
      <c r="A19" s="26" t="s">
        <v>444</v>
      </c>
      <c r="B19" s="26" t="s">
        <v>402</v>
      </c>
      <c r="C19" s="27" t="s">
        <v>10</v>
      </c>
      <c r="D19" s="184" t="s">
        <v>435</v>
      </c>
      <c r="E19" s="184">
        <v>2</v>
      </c>
      <c r="F19" s="184" t="s">
        <v>155</v>
      </c>
      <c r="G19" s="200" t="s">
        <v>1985</v>
      </c>
      <c r="H19" s="200" t="s">
        <v>1986</v>
      </c>
      <c r="I19" s="200">
        <v>36</v>
      </c>
      <c r="J19" s="201">
        <v>2000000</v>
      </c>
      <c r="K19" s="201">
        <v>33333</v>
      </c>
      <c r="L19" s="284">
        <f>[1]Sheet1!C5*1.07</f>
        <v>4487.3125</v>
      </c>
      <c r="M19" s="28">
        <v>5.4999999999999997E-3</v>
      </c>
      <c r="N19" s="28">
        <v>5.3900000000000003E-2</v>
      </c>
      <c r="O19" s="28">
        <v>1.6500000000000001E-2</v>
      </c>
      <c r="P19" s="28">
        <v>0.154</v>
      </c>
      <c r="Q19" s="28">
        <v>2.1999999999999999E-2</v>
      </c>
      <c r="R19" s="28">
        <v>0.17599999999999999</v>
      </c>
      <c r="S19" s="28">
        <v>1.54E-2</v>
      </c>
      <c r="T19" s="28">
        <v>0.13200000000000001</v>
      </c>
      <c r="U19" s="28">
        <v>1.0999999999999999E-2</v>
      </c>
      <c r="V19" s="28">
        <v>8.7999999999999995E-2</v>
      </c>
      <c r="W19" s="28">
        <v>1.43E-2</v>
      </c>
      <c r="X19" s="28">
        <v>8.7999999999999995E-2</v>
      </c>
      <c r="Y19" s="28">
        <v>2.1999999999999999E-2</v>
      </c>
      <c r="Z19" s="28">
        <v>0.17599999999999999</v>
      </c>
      <c r="AA19" s="28">
        <v>2.0899999999999998E-2</v>
      </c>
      <c r="AB19" s="28">
        <v>0.154</v>
      </c>
      <c r="AC19" s="28">
        <v>1.0999999999999999E-2</v>
      </c>
      <c r="AD19" s="28">
        <v>0.11</v>
      </c>
      <c r="AE19" s="28">
        <v>1.9800000000000002E-2</v>
      </c>
      <c r="AF19" s="28">
        <v>0.14299999999999999</v>
      </c>
      <c r="AG19" s="28">
        <v>1.8700000000000001E-2</v>
      </c>
      <c r="AH19" s="28">
        <v>0.14299999999999999</v>
      </c>
      <c r="AI19" s="28">
        <v>2.1999999999999999E-2</v>
      </c>
      <c r="AJ19" s="28">
        <v>0.17599999999999999</v>
      </c>
      <c r="AK19" s="28">
        <v>1.8700000000000001E-2</v>
      </c>
      <c r="AL19" s="28">
        <v>0.14299999999999999</v>
      </c>
      <c r="AM19" s="28" t="s">
        <v>77</v>
      </c>
      <c r="AN19" s="28"/>
      <c r="AO19" s="32">
        <v>40.700000000000003</v>
      </c>
      <c r="AP19" s="32">
        <v>91.3</v>
      </c>
      <c r="AQ19" s="34">
        <v>120000</v>
      </c>
      <c r="AR19" s="32">
        <v>81.400000000000006</v>
      </c>
      <c r="AS19" s="32" t="s">
        <v>0</v>
      </c>
      <c r="AT19" s="32" t="s">
        <v>0</v>
      </c>
      <c r="AU19" s="32" t="s">
        <v>39</v>
      </c>
      <c r="AV19" s="31">
        <v>15000</v>
      </c>
      <c r="AW19" s="32">
        <v>135.30000000000001</v>
      </c>
      <c r="AX19" s="32" t="s">
        <v>40</v>
      </c>
      <c r="AY19" s="32">
        <v>30.8</v>
      </c>
      <c r="AZ19" s="32">
        <v>1650</v>
      </c>
      <c r="BA19" s="32">
        <v>2640</v>
      </c>
      <c r="BB19" s="32">
        <v>1232</v>
      </c>
      <c r="BC19" s="32">
        <v>462</v>
      </c>
      <c r="BD19" s="32">
        <v>1595</v>
      </c>
      <c r="BE19" s="32">
        <v>2640</v>
      </c>
      <c r="BF19" s="32">
        <v>2222</v>
      </c>
      <c r="BG19" s="32">
        <v>1375</v>
      </c>
      <c r="BH19" s="32">
        <v>2618</v>
      </c>
      <c r="BI19" s="32">
        <v>1595</v>
      </c>
      <c r="BJ19" s="32">
        <v>2640</v>
      </c>
      <c r="BK19" s="32">
        <v>1595</v>
      </c>
      <c r="BL19" s="30" t="s">
        <v>81</v>
      </c>
      <c r="BM19" s="30" t="s">
        <v>87</v>
      </c>
      <c r="BN19" s="30" t="s">
        <v>45</v>
      </c>
      <c r="BO19" s="31" t="s">
        <v>98</v>
      </c>
      <c r="BP19" s="31">
        <v>1500000</v>
      </c>
      <c r="BQ19" s="30" t="s">
        <v>105</v>
      </c>
      <c r="BR19" s="30" t="s">
        <v>47</v>
      </c>
      <c r="BS19" s="30" t="s">
        <v>47</v>
      </c>
      <c r="BT19" s="30" t="s">
        <v>2</v>
      </c>
      <c r="BU19" s="30" t="s">
        <v>48</v>
      </c>
      <c r="BV19" s="30" t="s">
        <v>115</v>
      </c>
      <c r="BW19" s="30" t="s">
        <v>118</v>
      </c>
      <c r="BX19" s="31">
        <v>6650</v>
      </c>
      <c r="BY19" s="30" t="s">
        <v>120</v>
      </c>
      <c r="BZ19" s="30" t="s">
        <v>52</v>
      </c>
      <c r="CA19" s="30" t="s">
        <v>2</v>
      </c>
      <c r="CB19" s="30" t="s">
        <v>2</v>
      </c>
      <c r="CC19" s="30" t="s">
        <v>2</v>
      </c>
      <c r="CD19" s="30" t="s">
        <v>2</v>
      </c>
      <c r="CE19" s="30" t="s">
        <v>124</v>
      </c>
      <c r="CF19" s="30" t="s">
        <v>128</v>
      </c>
      <c r="CG19" s="30" t="s">
        <v>55</v>
      </c>
      <c r="CH19" s="30" t="s">
        <v>56</v>
      </c>
      <c r="CI19" s="30" t="s">
        <v>2</v>
      </c>
      <c r="CJ19" s="30" t="s">
        <v>2</v>
      </c>
      <c r="CK19" s="30" t="s">
        <v>57</v>
      </c>
      <c r="CL19" s="30" t="s">
        <v>2</v>
      </c>
      <c r="CM19" s="30" t="s">
        <v>2</v>
      </c>
      <c r="CN19" s="30" t="s">
        <v>58</v>
      </c>
      <c r="CO19" s="30" t="s">
        <v>59</v>
      </c>
      <c r="CP19" s="30" t="s">
        <v>139</v>
      </c>
      <c r="CQ19" s="30" t="s">
        <v>144</v>
      </c>
      <c r="CR19" s="30" t="s">
        <v>149</v>
      </c>
      <c r="CS19" s="30" t="s">
        <v>3</v>
      </c>
      <c r="CT19" s="30">
        <v>0</v>
      </c>
      <c r="CU19" s="26">
        <v>0</v>
      </c>
      <c r="CV19" s="27" t="str">
        <f t="shared" si="0"/>
        <v>C360i-WA</v>
      </c>
      <c r="CW19" s="186" t="str">
        <f t="shared" si="1"/>
        <v>Konica Minolta</v>
      </c>
      <c r="CX19" s="186" t="str">
        <f>IF(Data!D19="E","Entry",IF(Data!D19="L","Low",IF(Data!D19="M","Medium","High")))</f>
        <v>Low</v>
      </c>
      <c r="CY19" s="187" t="str">
        <f t="shared" si="2"/>
        <v>MFD-Colour_Ko_L_2Y</v>
      </c>
    </row>
    <row r="20" spans="1:103" ht="20.100000000000001" customHeight="1" x14ac:dyDescent="0.2">
      <c r="A20" s="26" t="s">
        <v>445</v>
      </c>
      <c r="B20" s="26" t="s">
        <v>402</v>
      </c>
      <c r="C20" s="27" t="s">
        <v>10</v>
      </c>
      <c r="D20" s="184" t="s">
        <v>435</v>
      </c>
      <c r="E20" s="184">
        <v>3</v>
      </c>
      <c r="F20" s="184" t="s">
        <v>155</v>
      </c>
      <c r="G20" s="27" t="s">
        <v>2437</v>
      </c>
      <c r="H20" s="27" t="s">
        <v>2438</v>
      </c>
      <c r="I20" s="27">
        <v>33</v>
      </c>
      <c r="J20" s="185">
        <v>400000</v>
      </c>
      <c r="K20" s="185">
        <v>6667</v>
      </c>
      <c r="L20" s="284">
        <v>1708.42</v>
      </c>
      <c r="M20" s="28">
        <v>7.1999999999999998E-3</v>
      </c>
      <c r="N20" s="28">
        <v>6.6000000000000003E-2</v>
      </c>
      <c r="O20" s="28">
        <v>2.75E-2</v>
      </c>
      <c r="P20" s="28">
        <v>0.19800000000000001</v>
      </c>
      <c r="Q20" s="28">
        <v>4.07E-2</v>
      </c>
      <c r="R20" s="28">
        <v>0.23100000000000001</v>
      </c>
      <c r="S20" s="28">
        <v>2.75E-2</v>
      </c>
      <c r="T20" s="28">
        <v>0.17599999999999999</v>
      </c>
      <c r="U20" s="28">
        <v>1.32E-2</v>
      </c>
      <c r="V20" s="28">
        <v>0.13200000000000001</v>
      </c>
      <c r="W20" s="28">
        <v>1.43E-2</v>
      </c>
      <c r="X20" s="28">
        <v>0.13200000000000001</v>
      </c>
      <c r="Y20" s="28">
        <v>4.07E-2</v>
      </c>
      <c r="Z20" s="28">
        <v>0.23100000000000001</v>
      </c>
      <c r="AA20" s="28">
        <v>4.2900000000000001E-2</v>
      </c>
      <c r="AB20" s="28">
        <v>0.19800000000000001</v>
      </c>
      <c r="AC20" s="28">
        <v>1.32E-2</v>
      </c>
      <c r="AD20" s="28">
        <v>0.13200000000000001</v>
      </c>
      <c r="AE20" s="28">
        <v>3.85E-2</v>
      </c>
      <c r="AF20" s="28">
        <v>0.21340000000000001</v>
      </c>
      <c r="AG20" s="28">
        <v>2.1999999999999999E-2</v>
      </c>
      <c r="AH20" s="28">
        <v>0.154</v>
      </c>
      <c r="AI20" s="28">
        <v>4.07E-2</v>
      </c>
      <c r="AJ20" s="28">
        <v>0.23100000000000001</v>
      </c>
      <c r="AK20" s="28">
        <v>2.1999999999999999E-2</v>
      </c>
      <c r="AL20" s="28">
        <v>0.154</v>
      </c>
      <c r="AM20" s="28" t="s">
        <v>2442</v>
      </c>
      <c r="AN20" s="28"/>
      <c r="AO20" s="32">
        <v>125.4</v>
      </c>
      <c r="AP20" s="32">
        <v>130.9</v>
      </c>
      <c r="AQ20" s="34">
        <v>0</v>
      </c>
      <c r="AR20" s="32">
        <v>0</v>
      </c>
      <c r="AS20" s="32">
        <v>0</v>
      </c>
      <c r="AT20" s="32">
        <v>0</v>
      </c>
      <c r="AU20" s="32" t="s">
        <v>2443</v>
      </c>
      <c r="AV20" s="31">
        <v>1000</v>
      </c>
      <c r="AW20" s="32">
        <v>350.90000000000003</v>
      </c>
      <c r="AX20" s="32" t="s">
        <v>40</v>
      </c>
      <c r="AY20" s="32">
        <v>62.7</v>
      </c>
      <c r="AZ20" s="32">
        <v>1210</v>
      </c>
      <c r="BA20" s="32">
        <v>1540</v>
      </c>
      <c r="BB20" s="32">
        <v>1001</v>
      </c>
      <c r="BC20" s="32">
        <v>231</v>
      </c>
      <c r="BD20" s="32">
        <v>1166</v>
      </c>
      <c r="BE20" s="32">
        <v>1540</v>
      </c>
      <c r="BF20" s="32">
        <v>1221</v>
      </c>
      <c r="BG20" s="32">
        <v>1023</v>
      </c>
      <c r="BH20" s="32">
        <v>1496</v>
      </c>
      <c r="BI20" s="32">
        <v>1166</v>
      </c>
      <c r="BJ20" s="32">
        <v>1540</v>
      </c>
      <c r="BK20" s="32">
        <v>1166</v>
      </c>
      <c r="BL20" s="30" t="s">
        <v>82</v>
      </c>
      <c r="BM20" s="30" t="s">
        <v>88</v>
      </c>
      <c r="BN20" s="30" t="s">
        <v>45</v>
      </c>
      <c r="BO20" s="31" t="s">
        <v>99</v>
      </c>
      <c r="BP20" s="31">
        <v>400000</v>
      </c>
      <c r="BQ20" s="30" t="s">
        <v>106</v>
      </c>
      <c r="BR20" s="30" t="s">
        <v>58</v>
      </c>
      <c r="BS20" s="30" t="s">
        <v>58</v>
      </c>
      <c r="BT20" s="30" t="s">
        <v>2</v>
      </c>
      <c r="BU20" s="30" t="s">
        <v>48</v>
      </c>
      <c r="BV20" s="30" t="s">
        <v>116</v>
      </c>
      <c r="BW20" s="30" t="s">
        <v>119</v>
      </c>
      <c r="BX20" s="31">
        <v>1650</v>
      </c>
      <c r="BY20" s="30" t="s">
        <v>121</v>
      </c>
      <c r="BZ20" s="30" t="s">
        <v>122</v>
      </c>
      <c r="CA20" s="30" t="s">
        <v>2</v>
      </c>
      <c r="CB20" s="30" t="s">
        <v>2</v>
      </c>
      <c r="CC20" s="30" t="s">
        <v>2</v>
      </c>
      <c r="CD20" s="30" t="s">
        <v>3</v>
      </c>
      <c r="CE20" s="30" t="s">
        <v>125</v>
      </c>
      <c r="CF20" s="30" t="s">
        <v>129</v>
      </c>
      <c r="CG20" s="30" t="s">
        <v>55</v>
      </c>
      <c r="CH20" s="30" t="s">
        <v>56</v>
      </c>
      <c r="CI20" s="30" t="s">
        <v>2</v>
      </c>
      <c r="CJ20" s="30" t="s">
        <v>2</v>
      </c>
      <c r="CK20" s="30" t="s">
        <v>57</v>
      </c>
      <c r="CL20" s="30" t="s">
        <v>2</v>
      </c>
      <c r="CM20" s="30" t="s">
        <v>2</v>
      </c>
      <c r="CN20" s="30" t="s">
        <v>136</v>
      </c>
      <c r="CO20" s="30" t="s">
        <v>137</v>
      </c>
      <c r="CP20" s="30" t="s">
        <v>140</v>
      </c>
      <c r="CQ20" s="30" t="s">
        <v>145</v>
      </c>
      <c r="CR20" s="30" t="s">
        <v>150</v>
      </c>
      <c r="CS20" s="30" t="s">
        <v>2</v>
      </c>
      <c r="CT20" s="30" t="s">
        <v>153</v>
      </c>
      <c r="CU20" s="26">
        <v>0</v>
      </c>
      <c r="CV20" s="27" t="str">
        <f t="shared" si="0"/>
        <v>C3321i-WA</v>
      </c>
      <c r="CW20" s="186" t="str">
        <f t="shared" si="1"/>
        <v>Konica Minolta</v>
      </c>
      <c r="CX20" s="186" t="str">
        <f>IF(Data!D20="E","Entry",IF(Data!D20="L","Low",IF(Data!D20="M","Medium","High")))</f>
        <v>Low</v>
      </c>
      <c r="CY20" s="187" t="str">
        <f t="shared" si="2"/>
        <v>MFD-Colour_Ko_L_3Y</v>
      </c>
    </row>
    <row r="21" spans="1:103" s="36" customFormat="1" ht="20.100000000000001" customHeight="1" x14ac:dyDescent="0.2">
      <c r="A21" s="26" t="s">
        <v>446</v>
      </c>
      <c r="B21" s="26" t="s">
        <v>402</v>
      </c>
      <c r="C21" s="27" t="s">
        <v>10</v>
      </c>
      <c r="D21" s="184" t="s">
        <v>435</v>
      </c>
      <c r="E21" s="184">
        <v>4</v>
      </c>
      <c r="F21" s="184" t="s">
        <v>155</v>
      </c>
      <c r="G21" s="200" t="s">
        <v>2439</v>
      </c>
      <c r="H21" s="200" t="s">
        <v>2440</v>
      </c>
      <c r="I21" s="200">
        <v>33</v>
      </c>
      <c r="J21" s="201">
        <v>400000</v>
      </c>
      <c r="K21" s="201">
        <v>6667</v>
      </c>
      <c r="L21" s="284">
        <f>[1]Sheet1!C6*1.07</f>
        <v>2177.4500000000003</v>
      </c>
      <c r="M21" s="28">
        <v>7.1999999999999998E-3</v>
      </c>
      <c r="N21" s="28">
        <v>6.6000000000000003E-2</v>
      </c>
      <c r="O21" s="28">
        <v>2.75E-2</v>
      </c>
      <c r="P21" s="28">
        <v>0.19800000000000001</v>
      </c>
      <c r="Q21" s="28">
        <v>4.07E-2</v>
      </c>
      <c r="R21" s="28">
        <v>0.23100000000000001</v>
      </c>
      <c r="S21" s="28">
        <v>2.75E-2</v>
      </c>
      <c r="T21" s="28">
        <v>0.17599999999999999</v>
      </c>
      <c r="U21" s="28">
        <v>1.32E-2</v>
      </c>
      <c r="V21" s="28">
        <v>0.13200000000000001</v>
      </c>
      <c r="W21" s="28">
        <v>1.43E-2</v>
      </c>
      <c r="X21" s="28">
        <v>0.13200000000000001</v>
      </c>
      <c r="Y21" s="28">
        <v>4.07E-2</v>
      </c>
      <c r="Z21" s="28">
        <v>0.23100000000000001</v>
      </c>
      <c r="AA21" s="28">
        <v>4.2900000000000001E-2</v>
      </c>
      <c r="AB21" s="28">
        <v>0.19800000000000001</v>
      </c>
      <c r="AC21" s="28">
        <v>1.32E-2</v>
      </c>
      <c r="AD21" s="28">
        <v>0.13200000000000001</v>
      </c>
      <c r="AE21" s="28">
        <v>3.85E-2</v>
      </c>
      <c r="AF21" s="28">
        <v>0.21340000000000001</v>
      </c>
      <c r="AG21" s="28">
        <v>2.1999999999999999E-2</v>
      </c>
      <c r="AH21" s="28">
        <v>0.154</v>
      </c>
      <c r="AI21" s="28">
        <v>4.07E-2</v>
      </c>
      <c r="AJ21" s="28">
        <v>0.23100000000000001</v>
      </c>
      <c r="AK21" s="28">
        <v>2.1999999999999999E-2</v>
      </c>
      <c r="AL21" s="28">
        <v>0.154</v>
      </c>
      <c r="AM21" s="28" t="s">
        <v>2444</v>
      </c>
      <c r="AN21" s="28"/>
      <c r="AO21" s="32">
        <v>33</v>
      </c>
      <c r="AP21" s="32">
        <v>64.900000000000006</v>
      </c>
      <c r="AQ21" s="34">
        <v>50000</v>
      </c>
      <c r="AR21" s="32">
        <v>130.9</v>
      </c>
      <c r="AS21" s="32" t="s">
        <v>0</v>
      </c>
      <c r="AT21" s="32" t="s">
        <v>0</v>
      </c>
      <c r="AU21" s="32" t="s">
        <v>80</v>
      </c>
      <c r="AV21" s="31">
        <v>5000</v>
      </c>
      <c r="AW21" s="32">
        <v>319</v>
      </c>
      <c r="AX21" s="32" t="s">
        <v>40</v>
      </c>
      <c r="AY21" s="32">
        <v>28.6</v>
      </c>
      <c r="AZ21" s="32">
        <v>1210</v>
      </c>
      <c r="BA21" s="32">
        <v>1540</v>
      </c>
      <c r="BB21" s="32">
        <v>1001</v>
      </c>
      <c r="BC21" s="32">
        <v>231</v>
      </c>
      <c r="BD21" s="32">
        <v>1166</v>
      </c>
      <c r="BE21" s="32">
        <v>1540</v>
      </c>
      <c r="BF21" s="32">
        <v>1221</v>
      </c>
      <c r="BG21" s="32">
        <v>1023</v>
      </c>
      <c r="BH21" s="32">
        <v>1496</v>
      </c>
      <c r="BI21" s="32">
        <v>1166</v>
      </c>
      <c r="BJ21" s="32">
        <v>1540</v>
      </c>
      <c r="BK21" s="32">
        <v>1166</v>
      </c>
      <c r="BL21" s="30" t="s">
        <v>82</v>
      </c>
      <c r="BM21" s="30" t="s">
        <v>88</v>
      </c>
      <c r="BN21" s="30" t="s">
        <v>45</v>
      </c>
      <c r="BO21" s="31" t="s">
        <v>99</v>
      </c>
      <c r="BP21" s="31">
        <v>400000</v>
      </c>
      <c r="BQ21" s="30" t="s">
        <v>106</v>
      </c>
      <c r="BR21" s="30" t="s">
        <v>58</v>
      </c>
      <c r="BS21" s="30" t="s">
        <v>58</v>
      </c>
      <c r="BT21" s="30" t="s">
        <v>2</v>
      </c>
      <c r="BU21" s="30" t="s">
        <v>48</v>
      </c>
      <c r="BV21" s="30" t="s">
        <v>116</v>
      </c>
      <c r="BW21" s="30" t="s">
        <v>119</v>
      </c>
      <c r="BX21" s="31">
        <v>1650</v>
      </c>
      <c r="BY21" s="30" t="s">
        <v>121</v>
      </c>
      <c r="BZ21" s="30" t="s">
        <v>122</v>
      </c>
      <c r="CA21" s="30" t="s">
        <v>2</v>
      </c>
      <c r="CB21" s="30" t="s">
        <v>2</v>
      </c>
      <c r="CC21" s="30" t="s">
        <v>2</v>
      </c>
      <c r="CD21" s="30" t="s">
        <v>3</v>
      </c>
      <c r="CE21" s="30" t="s">
        <v>125</v>
      </c>
      <c r="CF21" s="30" t="s">
        <v>129</v>
      </c>
      <c r="CG21" s="30" t="s">
        <v>55</v>
      </c>
      <c r="CH21" s="30" t="s">
        <v>56</v>
      </c>
      <c r="CI21" s="30" t="s">
        <v>2</v>
      </c>
      <c r="CJ21" s="30" t="s">
        <v>2</v>
      </c>
      <c r="CK21" s="30" t="s">
        <v>57</v>
      </c>
      <c r="CL21" s="30" t="s">
        <v>2</v>
      </c>
      <c r="CM21" s="30" t="s">
        <v>2</v>
      </c>
      <c r="CN21" s="30" t="s">
        <v>136</v>
      </c>
      <c r="CO21" s="30" t="s">
        <v>137</v>
      </c>
      <c r="CP21" s="30" t="s">
        <v>140</v>
      </c>
      <c r="CQ21" s="30" t="s">
        <v>145</v>
      </c>
      <c r="CR21" s="30" t="s">
        <v>150</v>
      </c>
      <c r="CS21" s="30" t="s">
        <v>2</v>
      </c>
      <c r="CT21" s="30" t="s">
        <v>153</v>
      </c>
      <c r="CU21" s="26">
        <v>0</v>
      </c>
      <c r="CV21" s="27" t="str">
        <f t="shared" si="0"/>
        <v>C3351i-WA</v>
      </c>
      <c r="CW21" s="186" t="str">
        <f t="shared" si="1"/>
        <v>Konica Minolta</v>
      </c>
      <c r="CX21" s="186" t="str">
        <f>IF(Data!D21="E","Entry",IF(Data!D21="L","Low",IF(Data!D21="M","Medium","High")))</f>
        <v>Low</v>
      </c>
      <c r="CY21" s="187" t="str">
        <f t="shared" si="2"/>
        <v>MFD-Colour_Ko_L_4Y</v>
      </c>
    </row>
    <row r="22" spans="1:103" ht="17.100000000000001" customHeight="1" x14ac:dyDescent="0.2">
      <c r="A22" s="26" t="s">
        <v>447</v>
      </c>
      <c r="B22" s="26" t="s">
        <v>402</v>
      </c>
      <c r="C22" s="27" t="s">
        <v>10</v>
      </c>
      <c r="D22" s="184" t="s">
        <v>433</v>
      </c>
      <c r="E22" s="184">
        <v>1</v>
      </c>
      <c r="F22" s="184" t="s">
        <v>156</v>
      </c>
      <c r="G22" s="200" t="s">
        <v>1936</v>
      </c>
      <c r="H22" s="200" t="s">
        <v>1937</v>
      </c>
      <c r="I22" s="200">
        <v>45</v>
      </c>
      <c r="J22" s="201">
        <v>2400000</v>
      </c>
      <c r="K22" s="201">
        <v>50000</v>
      </c>
      <c r="L22" s="284">
        <f>[1]Sheet1!C7*1.07</f>
        <v>5546.6125000000002</v>
      </c>
      <c r="M22" s="28">
        <v>5.4999999999999997E-3</v>
      </c>
      <c r="N22" s="28">
        <v>5.3900000000000003E-2</v>
      </c>
      <c r="O22" s="28">
        <v>1.6500000000000001E-2</v>
      </c>
      <c r="P22" s="28">
        <v>0.154</v>
      </c>
      <c r="Q22" s="28">
        <v>2.1999999999999999E-2</v>
      </c>
      <c r="R22" s="28">
        <v>0.17599999999999999</v>
      </c>
      <c r="S22" s="28">
        <v>1.0999999999999999E-2</v>
      </c>
      <c r="T22" s="28">
        <v>8.7999999999999995E-2</v>
      </c>
      <c r="U22" s="28">
        <v>1.0999999999999999E-2</v>
      </c>
      <c r="V22" s="28">
        <v>8.7999999999999995E-2</v>
      </c>
      <c r="W22" s="28">
        <v>1.43E-2</v>
      </c>
      <c r="X22" s="28">
        <v>8.7999999999999995E-2</v>
      </c>
      <c r="Y22" s="28">
        <v>2.1999999999999999E-2</v>
      </c>
      <c r="Z22" s="28">
        <v>0.17599999999999999</v>
      </c>
      <c r="AA22" s="28">
        <v>2.0899999999999998E-2</v>
      </c>
      <c r="AB22" s="28">
        <v>0.14299999999999999</v>
      </c>
      <c r="AC22" s="28">
        <v>1.0999999999999999E-2</v>
      </c>
      <c r="AD22" s="28">
        <v>0.11</v>
      </c>
      <c r="AE22" s="28">
        <v>1.8700000000000001E-2</v>
      </c>
      <c r="AF22" s="28">
        <v>0.13089999999999999</v>
      </c>
      <c r="AG22" s="28">
        <v>1.7600000000000001E-2</v>
      </c>
      <c r="AH22" s="28">
        <v>0.13200000000000001</v>
      </c>
      <c r="AI22" s="28">
        <v>2.1999999999999999E-2</v>
      </c>
      <c r="AJ22" s="28">
        <v>0.17599999999999999</v>
      </c>
      <c r="AK22" s="28">
        <v>1.7600000000000001E-2</v>
      </c>
      <c r="AL22" s="28">
        <v>0.13200000000000001</v>
      </c>
      <c r="AM22" s="28" t="s">
        <v>78</v>
      </c>
      <c r="AN22" s="28"/>
      <c r="AO22" s="32">
        <v>33</v>
      </c>
      <c r="AP22" s="32">
        <v>70.400000000000006</v>
      </c>
      <c r="AQ22" s="31">
        <v>120000</v>
      </c>
      <c r="AR22" s="32">
        <v>81.400000000000006</v>
      </c>
      <c r="AS22" s="32" t="s">
        <v>0</v>
      </c>
      <c r="AT22" s="32" t="s">
        <v>0</v>
      </c>
      <c r="AU22" s="32" t="s">
        <v>39</v>
      </c>
      <c r="AV22" s="31">
        <v>15000</v>
      </c>
      <c r="AW22" s="32">
        <v>135.30000000000001</v>
      </c>
      <c r="AX22" s="32" t="s">
        <v>40</v>
      </c>
      <c r="AY22" s="32">
        <v>28.6</v>
      </c>
      <c r="AZ22" s="32">
        <v>1210</v>
      </c>
      <c r="BA22" s="32">
        <v>1540</v>
      </c>
      <c r="BB22" s="32">
        <v>1001</v>
      </c>
      <c r="BC22" s="32">
        <v>231</v>
      </c>
      <c r="BD22" s="32">
        <v>1166</v>
      </c>
      <c r="BE22" s="32">
        <v>1540</v>
      </c>
      <c r="BF22" s="32">
        <v>1221</v>
      </c>
      <c r="BG22" s="32">
        <v>1023</v>
      </c>
      <c r="BH22" s="32">
        <v>1496</v>
      </c>
      <c r="BI22" s="32">
        <v>1166</v>
      </c>
      <c r="BJ22" s="32">
        <v>1540</v>
      </c>
      <c r="BK22" s="32">
        <v>1166</v>
      </c>
      <c r="BL22" s="30" t="s">
        <v>83</v>
      </c>
      <c r="BM22" s="30" t="s">
        <v>89</v>
      </c>
      <c r="BN22" s="30" t="s">
        <v>93</v>
      </c>
      <c r="BO22" s="30" t="s">
        <v>100</v>
      </c>
      <c r="BP22" s="30">
        <v>1800000</v>
      </c>
      <c r="BQ22" s="30" t="s">
        <v>107</v>
      </c>
      <c r="BR22" s="30" t="s">
        <v>47</v>
      </c>
      <c r="BS22" s="30" t="s">
        <v>47</v>
      </c>
      <c r="BT22" s="30" t="s">
        <v>2</v>
      </c>
      <c r="BU22" s="30" t="s">
        <v>48</v>
      </c>
      <c r="BV22" s="30" t="s">
        <v>117</v>
      </c>
      <c r="BW22" s="30" t="s">
        <v>118</v>
      </c>
      <c r="BX22" s="30">
        <v>6650</v>
      </c>
      <c r="BY22" s="30" t="s">
        <v>120</v>
      </c>
      <c r="BZ22" s="30" t="s">
        <v>123</v>
      </c>
      <c r="CA22" s="30" t="s">
        <v>2</v>
      </c>
      <c r="CB22" s="30" t="s">
        <v>2</v>
      </c>
      <c r="CC22" s="30" t="s">
        <v>2</v>
      </c>
      <c r="CD22" s="30" t="s">
        <v>2</v>
      </c>
      <c r="CE22" s="30" t="s">
        <v>124</v>
      </c>
      <c r="CF22" s="30" t="s">
        <v>130</v>
      </c>
      <c r="CG22" s="30" t="s">
        <v>55</v>
      </c>
      <c r="CH22" s="30" t="s">
        <v>135</v>
      </c>
      <c r="CI22" s="30" t="s">
        <v>2</v>
      </c>
      <c r="CJ22" s="30" t="s">
        <v>2</v>
      </c>
      <c r="CK22" s="30" t="s">
        <v>57</v>
      </c>
      <c r="CL22" s="30" t="s">
        <v>2</v>
      </c>
      <c r="CM22" s="30" t="s">
        <v>2</v>
      </c>
      <c r="CN22" s="30" t="s">
        <v>58</v>
      </c>
      <c r="CO22" s="30" t="s">
        <v>59</v>
      </c>
      <c r="CP22" s="30" t="s">
        <v>141</v>
      </c>
      <c r="CQ22" s="30" t="s">
        <v>146</v>
      </c>
      <c r="CR22" s="30" t="s">
        <v>149</v>
      </c>
      <c r="CS22" s="30" t="s">
        <v>3</v>
      </c>
      <c r="CT22" s="30">
        <v>0</v>
      </c>
      <c r="CU22" s="26">
        <v>0</v>
      </c>
      <c r="CV22" s="27" t="str">
        <f t="shared" si="0"/>
        <v>C450ib1-WA</v>
      </c>
      <c r="CW22" s="186" t="str">
        <f t="shared" si="1"/>
        <v>Konica Minolta</v>
      </c>
      <c r="CX22" s="186" t="str">
        <f>IF(Data!D22="E","Entry",IF(Data!D22="L","Low",IF(Data!D22="M","Medium","High")))</f>
        <v>Medium</v>
      </c>
      <c r="CY22" s="187" t="str">
        <f t="shared" si="2"/>
        <v>MFD-Colour_Ko_M_1Y</v>
      </c>
    </row>
    <row r="23" spans="1:103" ht="17.100000000000001" customHeight="1" x14ac:dyDescent="0.2">
      <c r="A23" s="26" t="s">
        <v>448</v>
      </c>
      <c r="B23" s="26" t="s">
        <v>402</v>
      </c>
      <c r="C23" s="27" t="s">
        <v>10</v>
      </c>
      <c r="D23" s="184" t="s">
        <v>433</v>
      </c>
      <c r="E23" s="184">
        <v>2</v>
      </c>
      <c r="F23" s="184" t="s">
        <v>156</v>
      </c>
      <c r="G23" s="200" t="s">
        <v>1938</v>
      </c>
      <c r="H23" s="200" t="s">
        <v>1939</v>
      </c>
      <c r="I23" s="200">
        <v>55</v>
      </c>
      <c r="J23" s="201">
        <v>3000000</v>
      </c>
      <c r="K23" s="201">
        <v>50000</v>
      </c>
      <c r="L23" s="284">
        <f>[1]Sheet1!C8*1.07</f>
        <v>6488.2125000000005</v>
      </c>
      <c r="M23" s="28">
        <v>5.4999999999999997E-3</v>
      </c>
      <c r="N23" s="28">
        <v>5.3900000000000003E-2</v>
      </c>
      <c r="O23" s="28">
        <v>1.6500000000000001E-2</v>
      </c>
      <c r="P23" s="28">
        <v>0.154</v>
      </c>
      <c r="Q23" s="28">
        <v>2.1999999999999999E-2</v>
      </c>
      <c r="R23" s="28">
        <v>0.17599999999999999</v>
      </c>
      <c r="S23" s="28">
        <v>1.21E-2</v>
      </c>
      <c r="T23" s="28">
        <v>0.121</v>
      </c>
      <c r="U23" s="28">
        <v>1.0999999999999999E-2</v>
      </c>
      <c r="V23" s="28">
        <v>8.7999999999999995E-2</v>
      </c>
      <c r="W23" s="28">
        <v>1.43E-2</v>
      </c>
      <c r="X23" s="28">
        <v>8.7999999999999995E-2</v>
      </c>
      <c r="Y23" s="28">
        <v>2.1999999999999999E-2</v>
      </c>
      <c r="Z23" s="28">
        <v>0.17599999999999999</v>
      </c>
      <c r="AA23" s="28">
        <v>2.0899999999999998E-2</v>
      </c>
      <c r="AB23" s="28">
        <v>0.14299999999999999</v>
      </c>
      <c r="AC23" s="28">
        <v>1.0999999999999999E-2</v>
      </c>
      <c r="AD23" s="28">
        <v>0.11</v>
      </c>
      <c r="AE23" s="28">
        <v>1.8700000000000001E-2</v>
      </c>
      <c r="AF23" s="28">
        <v>0.13089999999999999</v>
      </c>
      <c r="AG23" s="28">
        <v>1.7600000000000001E-2</v>
      </c>
      <c r="AH23" s="28">
        <v>0.13200000000000001</v>
      </c>
      <c r="AI23" s="28">
        <v>2.1999999999999999E-2</v>
      </c>
      <c r="AJ23" s="28">
        <v>0.17599999999999999</v>
      </c>
      <c r="AK23" s="28">
        <v>1.7600000000000001E-2</v>
      </c>
      <c r="AL23" s="28">
        <v>0.13200000000000001</v>
      </c>
      <c r="AM23" s="28" t="s">
        <v>78</v>
      </c>
      <c r="AN23" s="28"/>
      <c r="AO23" s="32">
        <v>33</v>
      </c>
      <c r="AP23" s="32">
        <v>70.400000000000006</v>
      </c>
      <c r="AQ23" s="31">
        <v>120000</v>
      </c>
      <c r="AR23" s="32">
        <v>81.400000000000006</v>
      </c>
      <c r="AS23" s="32" t="s">
        <v>0</v>
      </c>
      <c r="AT23" s="32" t="s">
        <v>0</v>
      </c>
      <c r="AU23" s="32" t="s">
        <v>39</v>
      </c>
      <c r="AV23" s="31">
        <v>15000</v>
      </c>
      <c r="AW23" s="32">
        <v>137.5</v>
      </c>
      <c r="AX23" s="32" t="s">
        <v>40</v>
      </c>
      <c r="AY23" s="32">
        <v>30.8</v>
      </c>
      <c r="AZ23" s="32">
        <v>1980</v>
      </c>
      <c r="BA23" s="32">
        <v>3190</v>
      </c>
      <c r="BB23" s="32">
        <v>1441</v>
      </c>
      <c r="BC23" s="32">
        <v>671</v>
      </c>
      <c r="BD23" s="32">
        <v>1969</v>
      </c>
      <c r="BE23" s="32">
        <v>3190</v>
      </c>
      <c r="BF23" s="32">
        <v>2651</v>
      </c>
      <c r="BG23" s="32">
        <v>1859</v>
      </c>
      <c r="BH23" s="32">
        <v>3179</v>
      </c>
      <c r="BI23" s="32">
        <v>1969</v>
      </c>
      <c r="BJ23" s="32">
        <v>3190</v>
      </c>
      <c r="BK23" s="32">
        <v>1969</v>
      </c>
      <c r="BL23" s="30" t="s">
        <v>83</v>
      </c>
      <c r="BM23" s="30" t="s">
        <v>90</v>
      </c>
      <c r="BN23" s="30" t="s">
        <v>94</v>
      </c>
      <c r="BO23" s="30" t="s">
        <v>101</v>
      </c>
      <c r="BP23" s="30">
        <v>2000000</v>
      </c>
      <c r="BQ23" s="30" t="s">
        <v>108</v>
      </c>
      <c r="BR23" s="30" t="s">
        <v>47</v>
      </c>
      <c r="BS23" s="30" t="s">
        <v>47</v>
      </c>
      <c r="BT23" s="30" t="s">
        <v>2</v>
      </c>
      <c r="BU23" s="30" t="s">
        <v>48</v>
      </c>
      <c r="BV23" s="30" t="s">
        <v>117</v>
      </c>
      <c r="BW23" s="30" t="s">
        <v>118</v>
      </c>
      <c r="BX23" s="30">
        <v>6650</v>
      </c>
      <c r="BY23" s="30" t="s">
        <v>120</v>
      </c>
      <c r="BZ23" s="30" t="s">
        <v>123</v>
      </c>
      <c r="CA23" s="30" t="s">
        <v>2</v>
      </c>
      <c r="CB23" s="30" t="s">
        <v>2</v>
      </c>
      <c r="CC23" s="30" t="s">
        <v>2</v>
      </c>
      <c r="CD23" s="30" t="s">
        <v>2</v>
      </c>
      <c r="CE23" s="30" t="s">
        <v>124</v>
      </c>
      <c r="CF23" s="30" t="s">
        <v>131</v>
      </c>
      <c r="CG23" s="30" t="s">
        <v>55</v>
      </c>
      <c r="CH23" s="30" t="s">
        <v>135</v>
      </c>
      <c r="CI23" s="30" t="s">
        <v>2</v>
      </c>
      <c r="CJ23" s="30" t="s">
        <v>2</v>
      </c>
      <c r="CK23" s="30" t="s">
        <v>57</v>
      </c>
      <c r="CL23" s="30" t="s">
        <v>2</v>
      </c>
      <c r="CM23" s="30" t="s">
        <v>2</v>
      </c>
      <c r="CN23" s="30" t="s">
        <v>58</v>
      </c>
      <c r="CO23" s="30" t="s">
        <v>59</v>
      </c>
      <c r="CP23" s="30" t="s">
        <v>141</v>
      </c>
      <c r="CQ23" s="30" t="s">
        <v>146</v>
      </c>
      <c r="CR23" s="30" t="s">
        <v>149</v>
      </c>
      <c r="CS23" s="30" t="s">
        <v>3</v>
      </c>
      <c r="CT23" s="30">
        <v>0</v>
      </c>
      <c r="CU23" s="26">
        <v>0</v>
      </c>
      <c r="CV23" s="27" t="str">
        <f t="shared" si="0"/>
        <v>C550ib1-WA</v>
      </c>
      <c r="CW23" s="186" t="str">
        <f t="shared" si="1"/>
        <v>Konica Minolta</v>
      </c>
      <c r="CX23" s="186" t="str">
        <f>IF(Data!D23="E","Entry",IF(Data!D23="L","Low",IF(Data!D23="M","Medium","High")))</f>
        <v>Medium</v>
      </c>
      <c r="CY23" s="187" t="str">
        <f t="shared" si="2"/>
        <v>MFD-Colour_Ko_M_2Y</v>
      </c>
    </row>
    <row r="24" spans="1:103" ht="17.100000000000001" customHeight="1" x14ac:dyDescent="0.2">
      <c r="A24" s="26" t="s">
        <v>449</v>
      </c>
      <c r="B24" s="26" t="s">
        <v>402</v>
      </c>
      <c r="C24" s="27" t="s">
        <v>10</v>
      </c>
      <c r="D24" s="184" t="s">
        <v>433</v>
      </c>
      <c r="E24" s="184">
        <v>3</v>
      </c>
      <c r="F24" s="184" t="s">
        <v>156</v>
      </c>
      <c r="G24" s="40" t="s">
        <v>2445</v>
      </c>
      <c r="H24" s="40" t="s">
        <v>2441</v>
      </c>
      <c r="I24" s="40">
        <v>40</v>
      </c>
      <c r="J24" s="51">
        <v>400000</v>
      </c>
      <c r="K24" s="51">
        <v>6667</v>
      </c>
      <c r="L24" s="267">
        <f>2621.5*1.1</f>
        <v>2883.65</v>
      </c>
      <c r="M24" s="267">
        <v>7.1999999999999998E-3</v>
      </c>
      <c r="N24" s="267">
        <v>6.6000000000000003E-2</v>
      </c>
      <c r="O24" s="267">
        <v>2.75E-2</v>
      </c>
      <c r="P24" s="267">
        <v>0.19800000000000001</v>
      </c>
      <c r="Q24" s="267">
        <v>4.07E-2</v>
      </c>
      <c r="R24" s="267">
        <v>0.23100000000000001</v>
      </c>
      <c r="S24" s="267">
        <v>2.75E-2</v>
      </c>
      <c r="T24" s="267">
        <v>0.17599999999999999</v>
      </c>
      <c r="U24" s="267">
        <v>1.32E-2</v>
      </c>
      <c r="V24" s="267">
        <v>0.13200000000000001</v>
      </c>
      <c r="W24" s="267">
        <v>1.43E-2</v>
      </c>
      <c r="X24" s="267">
        <v>0.13200000000000001</v>
      </c>
      <c r="Y24" s="267">
        <v>4.07E-2</v>
      </c>
      <c r="Z24" s="267">
        <v>0.23100000000000001</v>
      </c>
      <c r="AA24" s="267">
        <v>4.2900000000000001E-2</v>
      </c>
      <c r="AB24" s="267">
        <v>0.19800000000000001</v>
      </c>
      <c r="AC24" s="267">
        <v>1.32E-2</v>
      </c>
      <c r="AD24" s="267">
        <v>0.13200000000000001</v>
      </c>
      <c r="AE24" s="267">
        <v>3.85E-2</v>
      </c>
      <c r="AF24" s="267">
        <v>0.21340000000000001</v>
      </c>
      <c r="AG24" s="267">
        <v>2.1999999999999999E-2</v>
      </c>
      <c r="AH24" s="267">
        <v>0.154</v>
      </c>
      <c r="AI24" s="267">
        <v>4.07E-2</v>
      </c>
      <c r="AJ24" s="267">
        <v>0.23100000000000001</v>
      </c>
      <c r="AK24" s="267">
        <v>2.1999999999999999E-2</v>
      </c>
      <c r="AL24" s="267">
        <v>0.154</v>
      </c>
      <c r="AM24" s="267" t="s">
        <v>2444</v>
      </c>
      <c r="AN24" s="267"/>
      <c r="AO24" s="267">
        <v>33</v>
      </c>
      <c r="AP24" s="267">
        <v>64.900000000000006</v>
      </c>
      <c r="AQ24" s="267">
        <v>50000</v>
      </c>
      <c r="AR24" s="267">
        <v>130.9</v>
      </c>
      <c r="AS24" s="267" t="s">
        <v>0</v>
      </c>
      <c r="AT24" s="267" t="s">
        <v>0</v>
      </c>
      <c r="AU24" s="267" t="s">
        <v>80</v>
      </c>
      <c r="AV24" s="267">
        <v>5000</v>
      </c>
      <c r="AW24" s="267">
        <v>319</v>
      </c>
      <c r="AX24" s="267" t="s">
        <v>40</v>
      </c>
      <c r="AY24" s="267">
        <v>28.6</v>
      </c>
      <c r="AZ24" s="267">
        <v>1210</v>
      </c>
      <c r="BA24" s="267">
        <v>1540</v>
      </c>
      <c r="BB24" s="267">
        <v>1001</v>
      </c>
      <c r="BC24" s="267">
        <v>231</v>
      </c>
      <c r="BD24" s="267">
        <v>1166</v>
      </c>
      <c r="BE24" s="267">
        <v>1540</v>
      </c>
      <c r="BF24" s="267">
        <v>1221</v>
      </c>
      <c r="BG24" s="267">
        <v>1023</v>
      </c>
      <c r="BH24" s="267">
        <v>1496</v>
      </c>
      <c r="BI24" s="267">
        <v>1166</v>
      </c>
      <c r="BJ24" s="267">
        <v>1540</v>
      </c>
      <c r="BK24" s="267">
        <v>1166</v>
      </c>
      <c r="BL24" s="267" t="s">
        <v>82</v>
      </c>
      <c r="BM24" s="267" t="s">
        <v>88</v>
      </c>
      <c r="BN24" s="267" t="s">
        <v>45</v>
      </c>
      <c r="BO24" s="267" t="s">
        <v>99</v>
      </c>
      <c r="BP24" s="267">
        <v>400000</v>
      </c>
      <c r="BQ24" s="267" t="s">
        <v>106</v>
      </c>
      <c r="BR24" s="267" t="s">
        <v>58</v>
      </c>
      <c r="BS24" s="267" t="s">
        <v>58</v>
      </c>
      <c r="BT24" s="267" t="s">
        <v>2</v>
      </c>
      <c r="BU24" s="267" t="s">
        <v>48</v>
      </c>
      <c r="BV24" s="267" t="s">
        <v>116</v>
      </c>
      <c r="BW24" s="267" t="s">
        <v>119</v>
      </c>
      <c r="BX24" s="267">
        <v>1650</v>
      </c>
      <c r="BY24" s="267" t="s">
        <v>121</v>
      </c>
      <c r="BZ24" s="267" t="s">
        <v>122</v>
      </c>
      <c r="CA24" s="267" t="s">
        <v>2</v>
      </c>
      <c r="CB24" s="267" t="s">
        <v>2</v>
      </c>
      <c r="CC24" s="267" t="s">
        <v>2</v>
      </c>
      <c r="CD24" s="267" t="s">
        <v>3</v>
      </c>
      <c r="CE24" s="267" t="s">
        <v>125</v>
      </c>
      <c r="CF24" s="267" t="s">
        <v>129</v>
      </c>
      <c r="CG24" s="267" t="s">
        <v>55</v>
      </c>
      <c r="CH24" s="267" t="s">
        <v>56</v>
      </c>
      <c r="CI24" s="267" t="s">
        <v>2</v>
      </c>
      <c r="CJ24" s="267" t="s">
        <v>2</v>
      </c>
      <c r="CK24" s="267" t="s">
        <v>57</v>
      </c>
      <c r="CL24" s="267" t="s">
        <v>2</v>
      </c>
      <c r="CM24" s="267" t="s">
        <v>2</v>
      </c>
      <c r="CN24" s="267" t="s">
        <v>136</v>
      </c>
      <c r="CO24" s="267" t="s">
        <v>137</v>
      </c>
      <c r="CP24" s="267" t="s">
        <v>140</v>
      </c>
      <c r="CQ24" s="267" t="s">
        <v>145</v>
      </c>
      <c r="CR24" s="267" t="s">
        <v>150</v>
      </c>
      <c r="CS24" s="267" t="s">
        <v>2</v>
      </c>
      <c r="CT24" s="267" t="s">
        <v>153</v>
      </c>
      <c r="CU24" s="26">
        <v>0</v>
      </c>
      <c r="CV24" s="27" t="str">
        <f t="shared" si="0"/>
        <v>C4051i-WA</v>
      </c>
      <c r="CW24" s="186" t="str">
        <f t="shared" si="1"/>
        <v>Konica Minolta</v>
      </c>
      <c r="CX24" s="186" t="str">
        <f>IF(Data!D24="E","Entry",IF(Data!D24="L","Low",IF(Data!D24="M","Medium","High")))</f>
        <v>Medium</v>
      </c>
      <c r="CY24" s="187" t="str">
        <f t="shared" si="2"/>
        <v>MFD-Colour_Ko_M_3Y</v>
      </c>
    </row>
    <row r="25" spans="1:103" ht="17.100000000000001" customHeight="1" x14ac:dyDescent="0.2">
      <c r="A25" s="26" t="s">
        <v>450</v>
      </c>
      <c r="B25" s="26" t="s">
        <v>402</v>
      </c>
      <c r="C25" s="27" t="s">
        <v>10</v>
      </c>
      <c r="D25" s="184" t="s">
        <v>433</v>
      </c>
      <c r="E25" s="184">
        <v>4</v>
      </c>
      <c r="F25" s="184" t="s">
        <v>156</v>
      </c>
      <c r="G25" s="27">
        <v>0</v>
      </c>
      <c r="H25" s="27" t="s">
        <v>899</v>
      </c>
      <c r="I25" s="27">
        <v>0</v>
      </c>
      <c r="J25" s="185">
        <v>0</v>
      </c>
      <c r="K25" s="185">
        <v>0</v>
      </c>
      <c r="L25" s="32">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c r="AO25" s="32">
        <v>0</v>
      </c>
      <c r="AP25" s="32">
        <v>0</v>
      </c>
      <c r="AQ25" s="31">
        <v>0</v>
      </c>
      <c r="AR25" s="32">
        <v>0</v>
      </c>
      <c r="AS25" s="32">
        <v>0</v>
      </c>
      <c r="AT25" s="32">
        <v>0</v>
      </c>
      <c r="AU25" s="32">
        <v>0</v>
      </c>
      <c r="AV25" s="31">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0">
        <v>0</v>
      </c>
      <c r="BM25" s="30">
        <v>0</v>
      </c>
      <c r="BN25" s="30">
        <v>0</v>
      </c>
      <c r="BO25" s="30">
        <v>0</v>
      </c>
      <c r="BP25" s="30">
        <v>0</v>
      </c>
      <c r="BQ25" s="30">
        <v>0</v>
      </c>
      <c r="BR25" s="30">
        <v>0</v>
      </c>
      <c r="BS25" s="30">
        <v>0</v>
      </c>
      <c r="BT25" s="30">
        <v>0</v>
      </c>
      <c r="BU25" s="30">
        <v>0</v>
      </c>
      <c r="BV25" s="30">
        <v>0</v>
      </c>
      <c r="BW25" s="30">
        <v>0</v>
      </c>
      <c r="BX25" s="30">
        <v>0</v>
      </c>
      <c r="BY25" s="30">
        <v>0</v>
      </c>
      <c r="BZ25" s="30">
        <v>0</v>
      </c>
      <c r="CA25" s="30">
        <v>0</v>
      </c>
      <c r="CB25" s="30">
        <v>0</v>
      </c>
      <c r="CC25" s="30">
        <v>0</v>
      </c>
      <c r="CD25" s="30">
        <v>0</v>
      </c>
      <c r="CE25" s="30">
        <v>0</v>
      </c>
      <c r="CF25" s="30">
        <v>0</v>
      </c>
      <c r="CG25" s="30">
        <v>0</v>
      </c>
      <c r="CH25" s="30">
        <v>0</v>
      </c>
      <c r="CI25" s="30">
        <v>0</v>
      </c>
      <c r="CJ25" s="30">
        <v>0</v>
      </c>
      <c r="CK25" s="30">
        <v>0</v>
      </c>
      <c r="CL25" s="30">
        <v>0</v>
      </c>
      <c r="CM25" s="30">
        <v>0</v>
      </c>
      <c r="CN25" s="30">
        <v>0</v>
      </c>
      <c r="CO25" s="30">
        <v>0</v>
      </c>
      <c r="CP25" s="30">
        <v>0</v>
      </c>
      <c r="CQ25" s="30">
        <v>0</v>
      </c>
      <c r="CR25" s="30">
        <v>0</v>
      </c>
      <c r="CS25" s="30">
        <v>0</v>
      </c>
      <c r="CT25" s="30">
        <v>0</v>
      </c>
      <c r="CU25" s="26">
        <v>0</v>
      </c>
      <c r="CV25" s="27">
        <f t="shared" si="0"/>
        <v>0</v>
      </c>
      <c r="CW25" s="186" t="str">
        <f t="shared" si="1"/>
        <v>Konica Minolta</v>
      </c>
      <c r="CX25" s="186" t="str">
        <f>IF(Data!D25="E","Entry",IF(Data!D25="L","Low",IF(Data!D25="M","Medium","High")))</f>
        <v>Medium</v>
      </c>
      <c r="CY25" s="187" t="str">
        <f t="shared" si="2"/>
        <v>MFD-Colour_Ko_M_4N</v>
      </c>
    </row>
    <row r="26" spans="1:103" ht="17.100000000000001" customHeight="1" x14ac:dyDescent="0.2">
      <c r="A26" s="26" t="s">
        <v>451</v>
      </c>
      <c r="B26" s="26" t="s">
        <v>402</v>
      </c>
      <c r="C26" s="27" t="s">
        <v>10</v>
      </c>
      <c r="D26" s="184" t="s">
        <v>432</v>
      </c>
      <c r="E26" s="184">
        <v>1</v>
      </c>
      <c r="F26" s="184" t="s">
        <v>157</v>
      </c>
      <c r="G26" s="200" t="s">
        <v>1940</v>
      </c>
      <c r="H26" s="200" t="s">
        <v>1941</v>
      </c>
      <c r="I26" s="200">
        <v>65</v>
      </c>
      <c r="J26" s="201">
        <v>3200000</v>
      </c>
      <c r="K26" s="201">
        <v>53000</v>
      </c>
      <c r="L26" s="284">
        <f>[1]Sheet1!C9*1.07</f>
        <v>8489.1125000000011</v>
      </c>
      <c r="M26" s="28">
        <v>5.4999999999999997E-3</v>
      </c>
      <c r="N26" s="28">
        <v>5.3900000000000003E-2</v>
      </c>
      <c r="O26" s="28">
        <v>1.6500000000000001E-2</v>
      </c>
      <c r="P26" s="28">
        <v>0.154</v>
      </c>
      <c r="Q26" s="28">
        <v>2.1999999999999999E-2</v>
      </c>
      <c r="R26" s="28">
        <v>0.17599999999999999</v>
      </c>
      <c r="S26" s="28">
        <v>1.21E-2</v>
      </c>
      <c r="T26" s="28">
        <v>0.121</v>
      </c>
      <c r="U26" s="28">
        <v>1.0999999999999999E-2</v>
      </c>
      <c r="V26" s="28">
        <v>8.7999999999999995E-2</v>
      </c>
      <c r="W26" s="28">
        <v>1.32E-2</v>
      </c>
      <c r="X26" s="28">
        <v>8.7999999999999995E-2</v>
      </c>
      <c r="Y26" s="28">
        <v>2.1999999999999999E-2</v>
      </c>
      <c r="Z26" s="28">
        <v>0.17599999999999999</v>
      </c>
      <c r="AA26" s="28">
        <v>2.0899999999999998E-2</v>
      </c>
      <c r="AB26" s="28">
        <v>0.14299999999999999</v>
      </c>
      <c r="AC26" s="28">
        <v>1.0999999999999999E-2</v>
      </c>
      <c r="AD26" s="28">
        <v>0.11</v>
      </c>
      <c r="AE26" s="28">
        <v>1.8700000000000001E-2</v>
      </c>
      <c r="AF26" s="28">
        <v>0.13089999999999999</v>
      </c>
      <c r="AG26" s="28">
        <v>1.7600000000000001E-2</v>
      </c>
      <c r="AH26" s="28">
        <v>0.13200000000000001</v>
      </c>
      <c r="AI26" s="28">
        <v>2.1999999999999999E-2</v>
      </c>
      <c r="AJ26" s="28">
        <v>0.17599999999999999</v>
      </c>
      <c r="AK26" s="28">
        <v>1.7600000000000001E-2</v>
      </c>
      <c r="AL26" s="28">
        <v>0.13200000000000001</v>
      </c>
      <c r="AM26" s="28" t="s">
        <v>78</v>
      </c>
      <c r="AN26" s="28"/>
      <c r="AO26" s="32">
        <v>33</v>
      </c>
      <c r="AP26" s="32">
        <v>70.400000000000006</v>
      </c>
      <c r="AQ26" s="31">
        <v>120000</v>
      </c>
      <c r="AR26" s="32">
        <v>81.400000000000006</v>
      </c>
      <c r="AS26" s="32" t="s">
        <v>0</v>
      </c>
      <c r="AT26" s="32" t="s">
        <v>0</v>
      </c>
      <c r="AU26" s="32" t="s">
        <v>39</v>
      </c>
      <c r="AV26" s="31">
        <v>15000</v>
      </c>
      <c r="AW26" s="32">
        <v>137.5</v>
      </c>
      <c r="AX26" s="32" t="s">
        <v>40</v>
      </c>
      <c r="AY26" s="32">
        <v>30.8</v>
      </c>
      <c r="AZ26" s="32">
        <v>2420</v>
      </c>
      <c r="BA26" s="32">
        <v>4070</v>
      </c>
      <c r="BB26" s="32">
        <v>1650</v>
      </c>
      <c r="BC26" s="32">
        <v>880</v>
      </c>
      <c r="BD26" s="32">
        <v>2332</v>
      </c>
      <c r="BE26" s="32">
        <v>4070</v>
      </c>
      <c r="BF26" s="32">
        <v>2860</v>
      </c>
      <c r="BG26" s="32">
        <v>2178</v>
      </c>
      <c r="BH26" s="32">
        <v>3971</v>
      </c>
      <c r="BI26" s="32">
        <v>2332</v>
      </c>
      <c r="BJ26" s="32">
        <v>4070</v>
      </c>
      <c r="BK26" s="32">
        <v>2332</v>
      </c>
      <c r="BL26" s="30" t="s">
        <v>81</v>
      </c>
      <c r="BM26" s="30" t="s">
        <v>91</v>
      </c>
      <c r="BN26" s="30" t="s">
        <v>95</v>
      </c>
      <c r="BO26" s="30" t="s">
        <v>101</v>
      </c>
      <c r="BP26" s="30">
        <v>2000000</v>
      </c>
      <c r="BQ26" s="30" t="s">
        <v>109</v>
      </c>
      <c r="BR26" s="30" t="s">
        <v>112</v>
      </c>
      <c r="BS26" s="30" t="s">
        <v>113</v>
      </c>
      <c r="BT26" s="30">
        <v>0</v>
      </c>
      <c r="BU26" s="30" t="s">
        <v>48</v>
      </c>
      <c r="BV26" s="30" t="s">
        <v>117</v>
      </c>
      <c r="BW26" s="30">
        <v>1150</v>
      </c>
      <c r="BX26" s="30">
        <v>6650</v>
      </c>
      <c r="BY26" s="30" t="s">
        <v>120</v>
      </c>
      <c r="BZ26" s="30" t="s">
        <v>123</v>
      </c>
      <c r="CA26" s="30" t="s">
        <v>2</v>
      </c>
      <c r="CB26" s="30" t="s">
        <v>2</v>
      </c>
      <c r="CC26" s="30" t="s">
        <v>2</v>
      </c>
      <c r="CD26" s="30" t="s">
        <v>2</v>
      </c>
      <c r="CE26" s="30" t="s">
        <v>124</v>
      </c>
      <c r="CF26" s="30" t="s">
        <v>132</v>
      </c>
      <c r="CG26" s="30" t="s">
        <v>55</v>
      </c>
      <c r="CH26" s="30" t="s">
        <v>135</v>
      </c>
      <c r="CI26" s="30" t="s">
        <v>2</v>
      </c>
      <c r="CJ26" s="30" t="s">
        <v>2</v>
      </c>
      <c r="CK26" s="30" t="s">
        <v>57</v>
      </c>
      <c r="CL26" s="30" t="s">
        <v>2</v>
      </c>
      <c r="CM26" s="30" t="s">
        <v>2</v>
      </c>
      <c r="CN26" s="30" t="s">
        <v>58</v>
      </c>
      <c r="CO26" s="30" t="s">
        <v>59</v>
      </c>
      <c r="CP26" s="30" t="s">
        <v>142</v>
      </c>
      <c r="CQ26" s="30" t="s">
        <v>147</v>
      </c>
      <c r="CR26" s="30" t="s">
        <v>151</v>
      </c>
      <c r="CS26" s="30" t="s">
        <v>3</v>
      </c>
      <c r="CT26" s="30">
        <v>0</v>
      </c>
      <c r="CU26" s="26">
        <v>0</v>
      </c>
      <c r="CV26" s="27" t="str">
        <f t="shared" si="0"/>
        <v>C650ib1-WA</v>
      </c>
      <c r="CW26" s="186" t="str">
        <f t="shared" si="1"/>
        <v>Konica Minolta</v>
      </c>
      <c r="CX26" s="186" t="str">
        <f>IF(Data!D26="E","Entry",IF(Data!D26="L","Low",IF(Data!D26="M","Medium","High")))</f>
        <v>High</v>
      </c>
      <c r="CY26" s="187" t="str">
        <f t="shared" si="2"/>
        <v>MFD-Colour_Ko_H_1Y</v>
      </c>
    </row>
    <row r="27" spans="1:103" ht="17.100000000000001" customHeight="1" x14ac:dyDescent="0.2">
      <c r="A27" s="26" t="s">
        <v>452</v>
      </c>
      <c r="B27" s="26" t="s">
        <v>402</v>
      </c>
      <c r="C27" s="27" t="s">
        <v>10</v>
      </c>
      <c r="D27" s="184" t="s">
        <v>432</v>
      </c>
      <c r="E27" s="184">
        <v>2</v>
      </c>
      <c r="F27" s="184" t="s">
        <v>157</v>
      </c>
      <c r="G27" s="27">
        <v>0</v>
      </c>
      <c r="H27" s="27" t="s">
        <v>899</v>
      </c>
      <c r="I27" s="27">
        <v>0</v>
      </c>
      <c r="J27" s="185">
        <v>0</v>
      </c>
      <c r="K27" s="185">
        <v>0</v>
      </c>
      <c r="L27" s="32">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c r="AO27" s="32">
        <v>0</v>
      </c>
      <c r="AP27" s="32">
        <v>0</v>
      </c>
      <c r="AQ27" s="31">
        <v>0</v>
      </c>
      <c r="AR27" s="32">
        <v>0</v>
      </c>
      <c r="AS27" s="32">
        <v>0</v>
      </c>
      <c r="AT27" s="32">
        <v>0</v>
      </c>
      <c r="AU27" s="32">
        <v>0</v>
      </c>
      <c r="AV27" s="31">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0">
        <v>0</v>
      </c>
      <c r="BM27" s="30">
        <v>0</v>
      </c>
      <c r="BN27" s="30">
        <v>0</v>
      </c>
      <c r="BO27" s="30">
        <v>0</v>
      </c>
      <c r="BP27" s="30">
        <v>0</v>
      </c>
      <c r="BQ27" s="30">
        <v>0</v>
      </c>
      <c r="BR27" s="30">
        <v>0</v>
      </c>
      <c r="BS27" s="30">
        <v>0</v>
      </c>
      <c r="BT27" s="30">
        <v>0</v>
      </c>
      <c r="BU27" s="30">
        <v>0</v>
      </c>
      <c r="BV27" s="30">
        <v>0</v>
      </c>
      <c r="BW27" s="30">
        <v>0</v>
      </c>
      <c r="BX27" s="30">
        <v>0</v>
      </c>
      <c r="BY27" s="30">
        <v>0</v>
      </c>
      <c r="BZ27" s="30">
        <v>0</v>
      </c>
      <c r="CA27" s="30">
        <v>0</v>
      </c>
      <c r="CB27" s="30">
        <v>0</v>
      </c>
      <c r="CC27" s="30">
        <v>0</v>
      </c>
      <c r="CD27" s="30">
        <v>0</v>
      </c>
      <c r="CE27" s="30">
        <v>0</v>
      </c>
      <c r="CF27" s="30">
        <v>0</v>
      </c>
      <c r="CG27" s="30">
        <v>0</v>
      </c>
      <c r="CH27" s="30">
        <v>0</v>
      </c>
      <c r="CI27" s="30">
        <v>0</v>
      </c>
      <c r="CJ27" s="30">
        <v>0</v>
      </c>
      <c r="CK27" s="30">
        <v>0</v>
      </c>
      <c r="CL27" s="30">
        <v>0</v>
      </c>
      <c r="CM27" s="30">
        <v>0</v>
      </c>
      <c r="CN27" s="30">
        <v>0</v>
      </c>
      <c r="CO27" s="30">
        <v>0</v>
      </c>
      <c r="CP27" s="30">
        <v>0</v>
      </c>
      <c r="CQ27" s="30">
        <v>0</v>
      </c>
      <c r="CR27" s="30">
        <v>0</v>
      </c>
      <c r="CS27" s="30">
        <v>0</v>
      </c>
      <c r="CT27" s="30">
        <v>0</v>
      </c>
      <c r="CU27" s="26">
        <v>0</v>
      </c>
      <c r="CV27" s="27">
        <f t="shared" ref="CV27" si="3">G27</f>
        <v>0</v>
      </c>
      <c r="CW27" s="186" t="str">
        <f t="shared" ref="CW27" si="4">C27</f>
        <v>Konica Minolta</v>
      </c>
      <c r="CX27" s="186" t="str">
        <f>IF(Data!D27="E","Entry",IF(Data!D27="L","Low",IF(Data!D27="M","Medium","High")))</f>
        <v>High</v>
      </c>
      <c r="CY27" s="187" t="str">
        <f t="shared" si="2"/>
        <v>MFD-Colour_Ko_H_2N</v>
      </c>
    </row>
    <row r="28" spans="1:103" ht="17.100000000000001" customHeight="1" x14ac:dyDescent="0.2">
      <c r="A28" s="26" t="s">
        <v>453</v>
      </c>
      <c r="B28" s="26" t="s">
        <v>402</v>
      </c>
      <c r="C28" s="27" t="s">
        <v>10</v>
      </c>
      <c r="D28" s="184" t="s">
        <v>432</v>
      </c>
      <c r="E28" s="184">
        <v>3</v>
      </c>
      <c r="F28" s="184" t="s">
        <v>157</v>
      </c>
      <c r="G28" s="200" t="s">
        <v>1987</v>
      </c>
      <c r="H28" s="200" t="s">
        <v>1988</v>
      </c>
      <c r="I28" s="200">
        <v>75</v>
      </c>
      <c r="J28" s="185">
        <v>5000000</v>
      </c>
      <c r="K28" s="185">
        <v>83333</v>
      </c>
      <c r="L28" s="284">
        <f>[1]Sheet1!C10*1.07</f>
        <v>11534.6</v>
      </c>
      <c r="M28" s="28">
        <v>5.4999999999999997E-3</v>
      </c>
      <c r="N28" s="28">
        <v>5.3900000000000003E-2</v>
      </c>
      <c r="O28" s="28">
        <v>1.6500000000000001E-2</v>
      </c>
      <c r="P28" s="28">
        <v>0.154</v>
      </c>
      <c r="Q28" s="28">
        <v>2.1999999999999999E-2</v>
      </c>
      <c r="R28" s="28">
        <v>0.17599999999999999</v>
      </c>
      <c r="S28" s="28">
        <v>1.0999999999999999E-2</v>
      </c>
      <c r="T28" s="28">
        <v>0.11</v>
      </c>
      <c r="U28" s="28">
        <v>1.0999999999999999E-2</v>
      </c>
      <c r="V28" s="28">
        <v>8.7999999999999995E-2</v>
      </c>
      <c r="W28" s="28">
        <v>1.32E-2</v>
      </c>
      <c r="X28" s="28">
        <v>7.6999999999999999E-2</v>
      </c>
      <c r="Y28" s="28">
        <v>2.1999999999999999E-2</v>
      </c>
      <c r="Z28" s="28">
        <v>0.17599999999999999</v>
      </c>
      <c r="AA28" s="28">
        <v>1.7600000000000001E-2</v>
      </c>
      <c r="AB28" s="28">
        <v>0.13200000000000001</v>
      </c>
      <c r="AC28" s="28">
        <v>1.0999999999999999E-2</v>
      </c>
      <c r="AD28" s="28">
        <v>0.11</v>
      </c>
      <c r="AE28" s="28">
        <v>1.7600000000000001E-2</v>
      </c>
      <c r="AF28" s="28">
        <v>0.1188</v>
      </c>
      <c r="AG28" s="28">
        <v>1.7600000000000001E-2</v>
      </c>
      <c r="AH28" s="28">
        <v>0.13200000000000001</v>
      </c>
      <c r="AI28" s="28">
        <v>2.1999999999999999E-2</v>
      </c>
      <c r="AJ28" s="28">
        <v>0.17599999999999999</v>
      </c>
      <c r="AK28" s="28">
        <v>1.7600000000000001E-2</v>
      </c>
      <c r="AL28" s="28">
        <v>0.13200000000000001</v>
      </c>
      <c r="AM28" s="28" t="s">
        <v>79</v>
      </c>
      <c r="AN28" s="28"/>
      <c r="AO28" s="32">
        <v>61.6</v>
      </c>
      <c r="AP28" s="32">
        <v>79.2</v>
      </c>
      <c r="AQ28" s="31">
        <v>300000</v>
      </c>
      <c r="AR28" s="32">
        <v>195.8</v>
      </c>
      <c r="AS28" s="32" t="s">
        <v>0</v>
      </c>
      <c r="AT28" s="32" t="s">
        <v>0</v>
      </c>
      <c r="AU28" s="32" t="s">
        <v>39</v>
      </c>
      <c r="AV28" s="31">
        <v>15000</v>
      </c>
      <c r="AW28" s="32">
        <v>137.5</v>
      </c>
      <c r="AX28" s="32" t="s">
        <v>40</v>
      </c>
      <c r="AY28" s="32">
        <v>30.8</v>
      </c>
      <c r="AZ28" s="32">
        <v>2970</v>
      </c>
      <c r="BA28" s="32">
        <v>4290</v>
      </c>
      <c r="BB28" s="32">
        <v>1958</v>
      </c>
      <c r="BC28" s="32">
        <v>1188</v>
      </c>
      <c r="BD28" s="32">
        <v>2904</v>
      </c>
      <c r="BE28" s="32">
        <v>4290</v>
      </c>
      <c r="BF28" s="32">
        <v>3608</v>
      </c>
      <c r="BG28" s="32">
        <v>2640</v>
      </c>
      <c r="BH28" s="32">
        <v>4279</v>
      </c>
      <c r="BI28" s="32">
        <v>2904</v>
      </c>
      <c r="BJ28" s="32">
        <v>4290</v>
      </c>
      <c r="BK28" s="32">
        <v>2904</v>
      </c>
      <c r="BL28" s="30" t="s">
        <v>84</v>
      </c>
      <c r="BM28" s="30" t="s">
        <v>92</v>
      </c>
      <c r="BN28" s="30" t="s">
        <v>95</v>
      </c>
      <c r="BO28" s="30" t="s">
        <v>102</v>
      </c>
      <c r="BP28" s="30">
        <v>5000000</v>
      </c>
      <c r="BQ28" s="30" t="s">
        <v>110</v>
      </c>
      <c r="BR28" s="30" t="s">
        <v>112</v>
      </c>
      <c r="BS28" s="30" t="s">
        <v>113</v>
      </c>
      <c r="BT28" s="30">
        <v>0</v>
      </c>
      <c r="BU28" s="30" t="s">
        <v>114</v>
      </c>
      <c r="BV28" s="30" t="s">
        <v>117</v>
      </c>
      <c r="BW28" s="30">
        <v>3650</v>
      </c>
      <c r="BX28" s="30">
        <v>6650</v>
      </c>
      <c r="BY28" s="30" t="s">
        <v>120</v>
      </c>
      <c r="BZ28" s="30" t="s">
        <v>123</v>
      </c>
      <c r="CA28" s="30" t="s">
        <v>2</v>
      </c>
      <c r="CB28" s="30" t="s">
        <v>2</v>
      </c>
      <c r="CC28" s="30" t="s">
        <v>2</v>
      </c>
      <c r="CD28" s="30" t="s">
        <v>2</v>
      </c>
      <c r="CE28" s="30" t="s">
        <v>124</v>
      </c>
      <c r="CF28" s="30" t="s">
        <v>133</v>
      </c>
      <c r="CG28" s="30" t="s">
        <v>55</v>
      </c>
      <c r="CH28" s="30" t="s">
        <v>135</v>
      </c>
      <c r="CI28" s="30" t="s">
        <v>2</v>
      </c>
      <c r="CJ28" s="30" t="s">
        <v>2</v>
      </c>
      <c r="CK28" s="30" t="s">
        <v>57</v>
      </c>
      <c r="CL28" s="30" t="s">
        <v>2</v>
      </c>
      <c r="CM28" s="30" t="s">
        <v>2</v>
      </c>
      <c r="CN28" s="30" t="s">
        <v>58</v>
      </c>
      <c r="CO28" s="30" t="s">
        <v>138</v>
      </c>
      <c r="CP28" s="30" t="s">
        <v>143</v>
      </c>
      <c r="CQ28" s="30" t="s">
        <v>148</v>
      </c>
      <c r="CR28" s="30" t="s">
        <v>152</v>
      </c>
      <c r="CS28" s="30" t="s">
        <v>3</v>
      </c>
      <c r="CT28" s="30">
        <v>0</v>
      </c>
      <c r="CU28" s="26">
        <v>0</v>
      </c>
      <c r="CV28" s="27" t="str">
        <f t="shared" si="0"/>
        <v>C750i-WA</v>
      </c>
      <c r="CW28" s="186" t="str">
        <f t="shared" si="1"/>
        <v>Konica Minolta</v>
      </c>
      <c r="CX28" s="186" t="str">
        <f>IF(Data!D28="E","Entry",IF(Data!D28="L","Low",IF(Data!D28="M","Medium","High")))</f>
        <v>High</v>
      </c>
      <c r="CY28" s="187" t="str">
        <f t="shared" si="2"/>
        <v>MFD-Colour_Ko_H_3Y</v>
      </c>
    </row>
    <row r="29" spans="1:103" ht="17.100000000000001" customHeight="1" x14ac:dyDescent="0.2">
      <c r="A29" s="26" t="s">
        <v>454</v>
      </c>
      <c r="B29" s="26" t="s">
        <v>402</v>
      </c>
      <c r="C29" s="27" t="s">
        <v>10</v>
      </c>
      <c r="D29" s="184" t="s">
        <v>432</v>
      </c>
      <c r="E29" s="184">
        <v>4</v>
      </c>
      <c r="F29" s="184" t="s">
        <v>157</v>
      </c>
      <c r="G29" s="27">
        <v>0</v>
      </c>
      <c r="H29" s="27" t="s">
        <v>899</v>
      </c>
      <c r="I29" s="27">
        <v>0</v>
      </c>
      <c r="J29" s="185">
        <v>0</v>
      </c>
      <c r="K29" s="185">
        <v>0</v>
      </c>
      <c r="L29" s="32">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c r="AO29" s="32">
        <v>0</v>
      </c>
      <c r="AP29" s="32">
        <v>0</v>
      </c>
      <c r="AQ29" s="31">
        <v>0</v>
      </c>
      <c r="AR29" s="32">
        <v>0</v>
      </c>
      <c r="AS29" s="32">
        <v>0</v>
      </c>
      <c r="AT29" s="32">
        <v>0</v>
      </c>
      <c r="AU29" s="32">
        <v>0</v>
      </c>
      <c r="AV29" s="31">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0">
        <v>0</v>
      </c>
      <c r="BM29" s="30">
        <v>0</v>
      </c>
      <c r="BN29" s="30">
        <v>0</v>
      </c>
      <c r="BO29" s="30">
        <v>0</v>
      </c>
      <c r="BP29" s="30">
        <v>0</v>
      </c>
      <c r="BQ29" s="30">
        <v>0</v>
      </c>
      <c r="BR29" s="30">
        <v>0</v>
      </c>
      <c r="BS29" s="30">
        <v>0</v>
      </c>
      <c r="BT29" s="30">
        <v>0</v>
      </c>
      <c r="BU29" s="30">
        <v>0</v>
      </c>
      <c r="BV29" s="30">
        <v>0</v>
      </c>
      <c r="BW29" s="30">
        <v>0</v>
      </c>
      <c r="BX29" s="30">
        <v>0</v>
      </c>
      <c r="BY29" s="30">
        <v>0</v>
      </c>
      <c r="BZ29" s="30">
        <v>0</v>
      </c>
      <c r="CA29" s="30">
        <v>0</v>
      </c>
      <c r="CB29" s="30">
        <v>0</v>
      </c>
      <c r="CC29" s="30">
        <v>0</v>
      </c>
      <c r="CD29" s="30">
        <v>0</v>
      </c>
      <c r="CE29" s="30">
        <v>0</v>
      </c>
      <c r="CF29" s="30">
        <v>0</v>
      </c>
      <c r="CG29" s="30">
        <v>0</v>
      </c>
      <c r="CH29" s="30">
        <v>0</v>
      </c>
      <c r="CI29" s="30">
        <v>0</v>
      </c>
      <c r="CJ29" s="30">
        <v>0</v>
      </c>
      <c r="CK29" s="30">
        <v>0</v>
      </c>
      <c r="CL29" s="30">
        <v>0</v>
      </c>
      <c r="CM29" s="30">
        <v>0</v>
      </c>
      <c r="CN29" s="30">
        <v>0</v>
      </c>
      <c r="CO29" s="30">
        <v>0</v>
      </c>
      <c r="CP29" s="30">
        <v>0</v>
      </c>
      <c r="CQ29" s="30">
        <v>0</v>
      </c>
      <c r="CR29" s="30">
        <v>0</v>
      </c>
      <c r="CS29" s="30">
        <v>0</v>
      </c>
      <c r="CT29" s="30">
        <v>0</v>
      </c>
      <c r="CU29" s="26">
        <v>0</v>
      </c>
      <c r="CV29" s="27">
        <f t="shared" si="0"/>
        <v>0</v>
      </c>
      <c r="CW29" s="186" t="str">
        <f t="shared" si="1"/>
        <v>Konica Minolta</v>
      </c>
      <c r="CX29" s="186" t="str">
        <f>IF(Data!D29="E","Entry",IF(Data!D29="L","Low",IF(Data!D29="M","Medium","High")))</f>
        <v>High</v>
      </c>
      <c r="CY29" s="187" t="str">
        <f t="shared" si="2"/>
        <v>MFD-Colour_Ko_H_4N</v>
      </c>
    </row>
    <row r="30" spans="1:103" ht="17.100000000000001" customHeight="1" x14ac:dyDescent="0.2">
      <c r="A30" s="26" t="s">
        <v>455</v>
      </c>
      <c r="B30" s="26" t="s">
        <v>402</v>
      </c>
      <c r="C30" s="27" t="s">
        <v>7</v>
      </c>
      <c r="D30" s="184" t="s">
        <v>403</v>
      </c>
      <c r="E30" s="184">
        <v>1</v>
      </c>
      <c r="F30" s="184" t="s">
        <v>154</v>
      </c>
      <c r="G30" s="27" t="s">
        <v>1957</v>
      </c>
      <c r="H30" s="27" t="s">
        <v>1958</v>
      </c>
      <c r="I30" s="27">
        <v>24</v>
      </c>
      <c r="J30" s="185">
        <v>600000</v>
      </c>
      <c r="K30" s="185">
        <v>14000</v>
      </c>
      <c r="L30" s="32">
        <v>2784.1</v>
      </c>
      <c r="M30" s="28">
        <v>1.0999999999999999E-2</v>
      </c>
      <c r="N30" s="28">
        <v>8.7999999999999995E-2</v>
      </c>
      <c r="O30" s="28">
        <v>1.0999999999999999E-2</v>
      </c>
      <c r="P30" s="28">
        <v>0.11</v>
      </c>
      <c r="Q30" s="28">
        <v>2.8819999999999998E-2</v>
      </c>
      <c r="R30" s="28">
        <v>0.23529</v>
      </c>
      <c r="S30" s="28">
        <v>1.32E-2</v>
      </c>
      <c r="T30" s="28">
        <v>0.13200000000000001</v>
      </c>
      <c r="U30" s="28">
        <v>1.21E-2</v>
      </c>
      <c r="V30" s="28">
        <v>0.121</v>
      </c>
      <c r="W30" s="28">
        <v>1.32E-2</v>
      </c>
      <c r="X30" s="28">
        <v>0.13200000000000001</v>
      </c>
      <c r="Y30" s="28">
        <v>1.32E-2</v>
      </c>
      <c r="Z30" s="28">
        <v>0.13200000000000001</v>
      </c>
      <c r="AA30" s="28">
        <v>1.9800000000000002E-2</v>
      </c>
      <c r="AB30" s="28">
        <v>0.154</v>
      </c>
      <c r="AC30" s="28">
        <v>1.32E-2</v>
      </c>
      <c r="AD30" s="28">
        <v>0.13200000000000001</v>
      </c>
      <c r="AE30" s="28">
        <v>2.8819999999999998E-2</v>
      </c>
      <c r="AF30" s="28">
        <v>0.23529</v>
      </c>
      <c r="AG30" s="28">
        <v>2.1999999999999999E-2</v>
      </c>
      <c r="AH30" s="28">
        <v>0.154</v>
      </c>
      <c r="AI30" s="28">
        <v>1.21E-2</v>
      </c>
      <c r="AJ30" s="28">
        <v>0.121</v>
      </c>
      <c r="AK30" s="28">
        <v>2.1999999999999999E-2</v>
      </c>
      <c r="AL30" s="28">
        <v>0.154</v>
      </c>
      <c r="AM30" s="30" t="s">
        <v>229</v>
      </c>
      <c r="AN30" s="30" t="s">
        <v>233</v>
      </c>
      <c r="AO30" s="32">
        <v>119.68</v>
      </c>
      <c r="AP30" s="32">
        <v>130.9</v>
      </c>
      <c r="AQ30" s="32" t="s">
        <v>237</v>
      </c>
      <c r="AR30" s="32">
        <v>0</v>
      </c>
      <c r="AS30" s="32" t="s">
        <v>238</v>
      </c>
      <c r="AT30" s="27">
        <v>680.86</v>
      </c>
      <c r="AU30" s="32" t="s">
        <v>242</v>
      </c>
      <c r="AV30" s="30" t="s">
        <v>244</v>
      </c>
      <c r="AW30" s="30">
        <v>100.1</v>
      </c>
      <c r="AX30" s="32">
        <v>0</v>
      </c>
      <c r="AY30" s="29" t="s">
        <v>941</v>
      </c>
      <c r="AZ30" s="32">
        <v>440</v>
      </c>
      <c r="BA30" s="32">
        <v>1584</v>
      </c>
      <c r="BB30" s="32">
        <v>385</v>
      </c>
      <c r="BC30" s="32">
        <v>495</v>
      </c>
      <c r="BD30" s="32">
        <v>385</v>
      </c>
      <c r="BE30" s="32">
        <v>440</v>
      </c>
      <c r="BF30" s="32">
        <v>990</v>
      </c>
      <c r="BG30" s="32">
        <v>440</v>
      </c>
      <c r="BH30" s="32">
        <v>1584</v>
      </c>
      <c r="BI30" s="32">
        <v>385</v>
      </c>
      <c r="BJ30" s="32">
        <v>495</v>
      </c>
      <c r="BK30" s="32">
        <v>385</v>
      </c>
      <c r="BL30" s="32" t="s">
        <v>245</v>
      </c>
      <c r="BM30" s="30">
        <v>7.5</v>
      </c>
      <c r="BN30" s="30">
        <v>30</v>
      </c>
      <c r="BO30" s="30">
        <v>12000</v>
      </c>
      <c r="BP30" s="30">
        <v>600000</v>
      </c>
      <c r="BQ30" s="30">
        <v>52</v>
      </c>
      <c r="BR30" s="30" t="s">
        <v>248</v>
      </c>
      <c r="BS30" s="30" t="s">
        <v>113</v>
      </c>
      <c r="BT30" s="30" t="s">
        <v>2</v>
      </c>
      <c r="BU30" s="30" t="s">
        <v>245</v>
      </c>
      <c r="BV30" s="30" t="s">
        <v>1959</v>
      </c>
      <c r="BW30" s="30">
        <v>600</v>
      </c>
      <c r="BX30" s="30">
        <v>1600</v>
      </c>
      <c r="BY30" s="30">
        <v>100</v>
      </c>
      <c r="BZ30" s="30">
        <v>50</v>
      </c>
      <c r="CA30" s="30" t="s">
        <v>2</v>
      </c>
      <c r="CB30" s="30" t="s">
        <v>2</v>
      </c>
      <c r="CC30" s="30" t="s">
        <v>2</v>
      </c>
      <c r="CD30" s="30" t="s">
        <v>3</v>
      </c>
      <c r="CE30" s="30" t="s">
        <v>3</v>
      </c>
      <c r="CF30" s="30">
        <v>510</v>
      </c>
      <c r="CG30" s="30">
        <v>36</v>
      </c>
      <c r="CH30" s="30" t="s">
        <v>253</v>
      </c>
      <c r="CI30" s="30" t="s">
        <v>2</v>
      </c>
      <c r="CJ30" s="30" t="s">
        <v>2</v>
      </c>
      <c r="CK30" s="30">
        <v>200</v>
      </c>
      <c r="CL30" s="30" t="s">
        <v>2</v>
      </c>
      <c r="CM30" s="30" t="s">
        <v>2</v>
      </c>
      <c r="CN30" s="30" t="s">
        <v>113</v>
      </c>
      <c r="CO30" s="30" t="s">
        <v>255</v>
      </c>
      <c r="CP30" s="30" t="s">
        <v>256</v>
      </c>
      <c r="CQ30" s="30" t="s">
        <v>257</v>
      </c>
      <c r="CR30" s="30" t="s">
        <v>258</v>
      </c>
      <c r="CS30" s="30" t="s">
        <v>3</v>
      </c>
      <c r="CT30" s="30">
        <v>0</v>
      </c>
      <c r="CU30" s="30">
        <v>0</v>
      </c>
      <c r="CV30" s="27" t="str">
        <f t="shared" si="0"/>
        <v>1102P43AS0</v>
      </c>
      <c r="CW30" s="186" t="str">
        <f t="shared" si="1"/>
        <v>Kyocera</v>
      </c>
      <c r="CX30" s="186" t="str">
        <f>IF(Data!D30="E","Entry",IF(Data!D30="L","Low",IF(Data!D30="M","Medium","High")))</f>
        <v>Entry</v>
      </c>
      <c r="CY30" s="187" t="str">
        <f t="shared" si="2"/>
        <v>MFD-Colour_Ky_E_1Y</v>
      </c>
    </row>
    <row r="31" spans="1:103" ht="20.100000000000001" customHeight="1" x14ac:dyDescent="0.2">
      <c r="A31" s="26" t="s">
        <v>456</v>
      </c>
      <c r="B31" s="26" t="s">
        <v>402</v>
      </c>
      <c r="C31" s="27" t="s">
        <v>7</v>
      </c>
      <c r="D31" s="184" t="s">
        <v>403</v>
      </c>
      <c r="E31" s="184">
        <v>2</v>
      </c>
      <c r="F31" s="184" t="s">
        <v>154</v>
      </c>
      <c r="G31" s="200" t="s">
        <v>1995</v>
      </c>
      <c r="H31" s="200" t="s">
        <v>1996</v>
      </c>
      <c r="I31" s="27">
        <v>25</v>
      </c>
      <c r="J31" s="185">
        <v>900000</v>
      </c>
      <c r="K31" s="185">
        <v>15000</v>
      </c>
      <c r="L31" s="32">
        <v>3529.9</v>
      </c>
      <c r="M31" s="28">
        <v>5.4999999999999997E-3</v>
      </c>
      <c r="N31" s="28">
        <v>5.5E-2</v>
      </c>
      <c r="O31" s="28">
        <v>1.0999999999999999E-2</v>
      </c>
      <c r="P31" s="28">
        <v>0.11</v>
      </c>
      <c r="Q31" s="28">
        <v>2.2329999999999999E-2</v>
      </c>
      <c r="R31" s="28">
        <v>0.19613</v>
      </c>
      <c r="S31" s="28">
        <v>9.9000000000000008E-3</v>
      </c>
      <c r="T31" s="28">
        <v>9.9000000000000005E-2</v>
      </c>
      <c r="U31" s="28">
        <v>1.0999999999999999E-2</v>
      </c>
      <c r="V31" s="28">
        <v>0.11</v>
      </c>
      <c r="W31" s="28">
        <v>9.9000000000000008E-3</v>
      </c>
      <c r="X31" s="28">
        <v>9.9000000000000005E-2</v>
      </c>
      <c r="Y31" s="28">
        <v>1.32E-2</v>
      </c>
      <c r="Z31" s="28">
        <v>0.13200000000000001</v>
      </c>
      <c r="AA31" s="28">
        <v>1.9800000000000002E-2</v>
      </c>
      <c r="AB31" s="28">
        <v>0.13200000000000001</v>
      </c>
      <c r="AC31" s="28">
        <v>1.32E-2</v>
      </c>
      <c r="AD31" s="28">
        <v>0.13200000000000001</v>
      </c>
      <c r="AE31" s="28">
        <v>2.2329999999999999E-2</v>
      </c>
      <c r="AF31" s="28">
        <v>0.19613</v>
      </c>
      <c r="AG31" s="28">
        <v>1.43E-2</v>
      </c>
      <c r="AH31" s="28">
        <v>0.14299999999999999</v>
      </c>
      <c r="AI31" s="28">
        <v>1.0999999999999999E-2</v>
      </c>
      <c r="AJ31" s="28">
        <v>0.11</v>
      </c>
      <c r="AK31" s="28">
        <v>1.43E-2</v>
      </c>
      <c r="AL31" s="28">
        <v>0.14299999999999999</v>
      </c>
      <c r="AM31" s="207" t="s">
        <v>1997</v>
      </c>
      <c r="AN31" s="207" t="s">
        <v>1998</v>
      </c>
      <c r="AO31" s="208">
        <v>99.34</v>
      </c>
      <c r="AP31" s="208">
        <v>131.84</v>
      </c>
      <c r="AQ31" s="208" t="s">
        <v>237</v>
      </c>
      <c r="AR31" s="208">
        <v>0</v>
      </c>
      <c r="AS31" s="208" t="s">
        <v>1999</v>
      </c>
      <c r="AT31" s="27">
        <v>232.82</v>
      </c>
      <c r="AU31" s="32" t="s">
        <v>242</v>
      </c>
      <c r="AV31" s="30" t="s">
        <v>244</v>
      </c>
      <c r="AW31" s="30">
        <v>100.1</v>
      </c>
      <c r="AX31" s="32">
        <v>0</v>
      </c>
      <c r="AY31" s="29" t="s">
        <v>941</v>
      </c>
      <c r="AZ31" s="32">
        <v>550</v>
      </c>
      <c r="BA31" s="32">
        <v>1980</v>
      </c>
      <c r="BB31" s="32">
        <v>550</v>
      </c>
      <c r="BC31" s="32">
        <v>770</v>
      </c>
      <c r="BD31" s="32">
        <v>550</v>
      </c>
      <c r="BE31" s="32">
        <v>660</v>
      </c>
      <c r="BF31" s="32">
        <v>990</v>
      </c>
      <c r="BG31" s="32">
        <v>660</v>
      </c>
      <c r="BH31" s="32">
        <v>1980</v>
      </c>
      <c r="BI31" s="32">
        <v>550</v>
      </c>
      <c r="BJ31" s="32">
        <v>770</v>
      </c>
      <c r="BK31" s="32">
        <v>550</v>
      </c>
      <c r="BL31" s="32" t="s">
        <v>246</v>
      </c>
      <c r="BM31" s="30">
        <v>6.4</v>
      </c>
      <c r="BN31" s="30">
        <v>18</v>
      </c>
      <c r="BO31" s="30">
        <v>10000</v>
      </c>
      <c r="BP31" s="30">
        <v>900000</v>
      </c>
      <c r="BQ31" s="207">
        <v>35</v>
      </c>
      <c r="BR31" s="30" t="s">
        <v>248</v>
      </c>
      <c r="BS31" s="30" t="s">
        <v>113</v>
      </c>
      <c r="BT31" s="30" t="s">
        <v>2</v>
      </c>
      <c r="BU31" s="30" t="s">
        <v>246</v>
      </c>
      <c r="BV31" s="30" t="s">
        <v>249</v>
      </c>
      <c r="BW31" s="30">
        <v>1150</v>
      </c>
      <c r="BX31" s="30">
        <v>7150</v>
      </c>
      <c r="BY31" s="30">
        <v>150</v>
      </c>
      <c r="BZ31" s="30">
        <v>140</v>
      </c>
      <c r="CA31" s="30" t="s">
        <v>2</v>
      </c>
      <c r="CB31" s="30" t="s">
        <v>2</v>
      </c>
      <c r="CC31" s="30" t="s">
        <v>2</v>
      </c>
      <c r="CD31" s="30" t="s">
        <v>3</v>
      </c>
      <c r="CE31" s="30" t="s">
        <v>3</v>
      </c>
      <c r="CF31" s="202">
        <v>450</v>
      </c>
      <c r="CG31" s="30">
        <v>12</v>
      </c>
      <c r="CH31" s="30" t="s">
        <v>135</v>
      </c>
      <c r="CI31" s="30" t="s">
        <v>2</v>
      </c>
      <c r="CJ31" s="30" t="s">
        <v>2</v>
      </c>
      <c r="CK31" s="30">
        <v>2000</v>
      </c>
      <c r="CL31" s="30" t="s">
        <v>2</v>
      </c>
      <c r="CM31" s="30" t="s">
        <v>2</v>
      </c>
      <c r="CN31" s="30" t="s">
        <v>113</v>
      </c>
      <c r="CO31" s="30" t="s">
        <v>255</v>
      </c>
      <c r="CP31" s="30" t="s">
        <v>256</v>
      </c>
      <c r="CQ31" s="30" t="s">
        <v>257</v>
      </c>
      <c r="CR31" s="30" t="s">
        <v>258</v>
      </c>
      <c r="CS31" s="30" t="s">
        <v>3</v>
      </c>
      <c r="CT31" s="30">
        <v>0</v>
      </c>
      <c r="CU31" s="30">
        <v>0</v>
      </c>
      <c r="CV31" s="27" t="str">
        <f t="shared" si="0"/>
        <v>1102YP3AU0</v>
      </c>
      <c r="CW31" s="186" t="str">
        <f t="shared" si="1"/>
        <v>Kyocera</v>
      </c>
      <c r="CX31" s="186" t="str">
        <f>IF(Data!D31="E","Entry",IF(Data!D31="L","Low",IF(Data!D31="M","Medium","High")))</f>
        <v>Entry</v>
      </c>
      <c r="CY31" s="187" t="str">
        <f t="shared" si="2"/>
        <v>MFD-Colour_Ky_E_2Y</v>
      </c>
    </row>
    <row r="32" spans="1:103" ht="20.100000000000001" customHeight="1" x14ac:dyDescent="0.2">
      <c r="A32" s="25" t="s">
        <v>457</v>
      </c>
      <c r="B32" s="25" t="s">
        <v>402</v>
      </c>
      <c r="C32" s="200" t="s">
        <v>7</v>
      </c>
      <c r="D32" s="203" t="s">
        <v>435</v>
      </c>
      <c r="E32" s="203">
        <v>1</v>
      </c>
      <c r="F32" s="203" t="s">
        <v>155</v>
      </c>
      <c r="G32" s="238" t="s">
        <v>2276</v>
      </c>
      <c r="H32" s="299" t="s">
        <v>2277</v>
      </c>
      <c r="I32" s="200">
        <v>30</v>
      </c>
      <c r="J32" s="201">
        <v>600000</v>
      </c>
      <c r="K32" s="201">
        <v>10000</v>
      </c>
      <c r="L32" s="208">
        <v>825</v>
      </c>
      <c r="M32" s="236">
        <v>1.6500000000000001E-2</v>
      </c>
      <c r="N32" s="236">
        <v>0.121</v>
      </c>
      <c r="O32" s="236">
        <v>2.64E-2</v>
      </c>
      <c r="P32" s="236">
        <v>0.16500000000000001</v>
      </c>
      <c r="Q32" s="236">
        <v>6.028E-2</v>
      </c>
      <c r="R32" s="236">
        <v>0.39094000000000001</v>
      </c>
      <c r="S32" s="236">
        <v>2.64E-2</v>
      </c>
      <c r="T32" s="236">
        <v>0.16500000000000001</v>
      </c>
      <c r="U32" s="236">
        <v>3.3000000000000002E-2</v>
      </c>
      <c r="V32" s="236">
        <v>0.19800000000000001</v>
      </c>
      <c r="W32" s="236">
        <v>2.64E-2</v>
      </c>
      <c r="X32" s="236">
        <v>0.16500000000000001</v>
      </c>
      <c r="Y32" s="236">
        <v>2.75E-2</v>
      </c>
      <c r="Z32" s="236">
        <v>0.16500000000000001</v>
      </c>
      <c r="AA32" s="236">
        <v>2.86E-2</v>
      </c>
      <c r="AB32" s="236">
        <v>0.19800000000000001</v>
      </c>
      <c r="AC32" s="236">
        <v>2.75E-2</v>
      </c>
      <c r="AD32" s="236">
        <v>0.16500000000000001</v>
      </c>
      <c r="AE32" s="236">
        <v>6.028E-2</v>
      </c>
      <c r="AF32" s="236">
        <v>0.39094000000000001</v>
      </c>
      <c r="AG32" s="236">
        <v>3.3000000000000002E-2</v>
      </c>
      <c r="AH32" s="236">
        <v>0.187</v>
      </c>
      <c r="AI32" s="236">
        <v>3.3000000000000002E-2</v>
      </c>
      <c r="AJ32" s="236">
        <v>0.19800000000000001</v>
      </c>
      <c r="AK32" s="236">
        <v>3.3000000000000002E-2</v>
      </c>
      <c r="AL32" s="236">
        <v>0.187</v>
      </c>
      <c r="AM32" s="207" t="s">
        <v>1960</v>
      </c>
      <c r="AN32" s="207" t="s">
        <v>1961</v>
      </c>
      <c r="AO32" s="208">
        <v>198.22</v>
      </c>
      <c r="AP32" s="208">
        <v>243.1</v>
      </c>
      <c r="AQ32" s="208" t="s">
        <v>237</v>
      </c>
      <c r="AR32" s="208">
        <v>0</v>
      </c>
      <c r="AS32" s="208" t="s">
        <v>1962</v>
      </c>
      <c r="AT32" s="200">
        <v>453.48</v>
      </c>
      <c r="AU32" s="208">
        <v>0</v>
      </c>
      <c r="AV32" s="207">
        <v>0</v>
      </c>
      <c r="AW32" s="207">
        <v>0</v>
      </c>
      <c r="AX32" s="208">
        <v>0</v>
      </c>
      <c r="AY32" s="237" t="s">
        <v>941</v>
      </c>
      <c r="AZ32" s="208">
        <v>165</v>
      </c>
      <c r="BA32" s="208">
        <v>990</v>
      </c>
      <c r="BB32" s="208">
        <v>165</v>
      </c>
      <c r="BC32" s="208">
        <v>275</v>
      </c>
      <c r="BD32" s="208">
        <v>165</v>
      </c>
      <c r="BE32" s="208">
        <v>165</v>
      </c>
      <c r="BF32" s="208">
        <v>550</v>
      </c>
      <c r="BG32" s="208">
        <v>165</v>
      </c>
      <c r="BH32" s="208">
        <v>990</v>
      </c>
      <c r="BI32" s="208">
        <v>275</v>
      </c>
      <c r="BJ32" s="208">
        <v>275</v>
      </c>
      <c r="BK32" s="208">
        <v>275</v>
      </c>
      <c r="BL32" s="208" t="s">
        <v>247</v>
      </c>
      <c r="BM32" s="207">
        <v>6.5</v>
      </c>
      <c r="BN32" s="207">
        <v>26</v>
      </c>
      <c r="BO32" s="207">
        <v>5000</v>
      </c>
      <c r="BP32" s="207">
        <v>600000</v>
      </c>
      <c r="BQ32" s="207">
        <v>49.4</v>
      </c>
      <c r="BR32" s="207" t="s">
        <v>248</v>
      </c>
      <c r="BS32" s="207" t="s">
        <v>113</v>
      </c>
      <c r="BT32" s="207" t="s">
        <v>2</v>
      </c>
      <c r="BU32" s="207" t="s">
        <v>247</v>
      </c>
      <c r="BV32" s="207" t="s">
        <v>250</v>
      </c>
      <c r="BW32" s="207">
        <v>350</v>
      </c>
      <c r="BX32" s="207">
        <v>1850</v>
      </c>
      <c r="BY32" s="207">
        <v>100</v>
      </c>
      <c r="BZ32" s="207">
        <v>75</v>
      </c>
      <c r="CA32" s="207" t="s">
        <v>2</v>
      </c>
      <c r="CB32" s="207" t="s">
        <v>2</v>
      </c>
      <c r="CC32" s="207" t="s">
        <v>2</v>
      </c>
      <c r="CD32" s="207" t="s">
        <v>3</v>
      </c>
      <c r="CE32" s="207" t="s">
        <v>2</v>
      </c>
      <c r="CF32" s="207">
        <v>496</v>
      </c>
      <c r="CG32" s="207">
        <v>24</v>
      </c>
      <c r="CH32" s="207" t="s">
        <v>134</v>
      </c>
      <c r="CI32" s="207" t="s">
        <v>2</v>
      </c>
      <c r="CJ32" s="207" t="s">
        <v>2</v>
      </c>
      <c r="CK32" s="207">
        <v>200</v>
      </c>
      <c r="CL32" s="207" t="s">
        <v>2</v>
      </c>
      <c r="CM32" s="207" t="s">
        <v>2</v>
      </c>
      <c r="CN32" s="207" t="s">
        <v>113</v>
      </c>
      <c r="CO32" s="207" t="s">
        <v>255</v>
      </c>
      <c r="CP32" s="207" t="s">
        <v>256</v>
      </c>
      <c r="CQ32" s="207" t="s">
        <v>257</v>
      </c>
      <c r="CR32" s="207" t="s">
        <v>258</v>
      </c>
      <c r="CS32" s="207" t="s">
        <v>2</v>
      </c>
      <c r="CT32" s="207" t="s">
        <v>1963</v>
      </c>
      <c r="CU32" s="207">
        <v>0</v>
      </c>
      <c r="CV32" s="200" t="str">
        <f t="shared" si="0"/>
        <v>1102YK3AU0</v>
      </c>
      <c r="CW32" s="199" t="str">
        <f t="shared" si="1"/>
        <v>Kyocera</v>
      </c>
      <c r="CX32" s="199" t="str">
        <f>IF(Data!D32="E","Entry",IF(Data!D32="L","Low",IF(Data!D32="M","Medium","High")))</f>
        <v>Low</v>
      </c>
      <c r="CY32" s="206" t="str">
        <f t="shared" si="2"/>
        <v>MFD-Colour_Ky_L_1Y</v>
      </c>
    </row>
    <row r="33" spans="1:103" ht="20.100000000000001" customHeight="1" x14ac:dyDescent="0.2">
      <c r="A33" s="26" t="s">
        <v>458</v>
      </c>
      <c r="B33" s="26" t="s">
        <v>402</v>
      </c>
      <c r="C33" s="27" t="s">
        <v>7</v>
      </c>
      <c r="D33" s="184" t="s">
        <v>435</v>
      </c>
      <c r="E33" s="184">
        <v>2</v>
      </c>
      <c r="F33" s="184" t="s">
        <v>155</v>
      </c>
      <c r="G33" s="27" t="s">
        <v>225</v>
      </c>
      <c r="H33" s="185" t="s">
        <v>1933</v>
      </c>
      <c r="I33" s="185">
        <v>35</v>
      </c>
      <c r="J33" s="185">
        <v>600000</v>
      </c>
      <c r="K33" s="185">
        <v>12000</v>
      </c>
      <c r="L33" s="32">
        <v>3071.2</v>
      </c>
      <c r="M33" s="28">
        <v>7.1500000000000001E-3</v>
      </c>
      <c r="N33" s="28">
        <v>5.5E-2</v>
      </c>
      <c r="O33" s="28">
        <v>1.0999999999999999E-2</v>
      </c>
      <c r="P33" s="28">
        <v>0.11</v>
      </c>
      <c r="Q33" s="28">
        <v>2.1010000000000001E-2</v>
      </c>
      <c r="R33" s="28">
        <v>0.18304000000000001</v>
      </c>
      <c r="S33" s="28">
        <v>9.9000000000000008E-3</v>
      </c>
      <c r="T33" s="28">
        <v>9.9000000000000005E-2</v>
      </c>
      <c r="U33" s="28">
        <v>1.0999999999999999E-2</v>
      </c>
      <c r="V33" s="28">
        <v>0.11</v>
      </c>
      <c r="W33" s="28">
        <v>9.9000000000000008E-3</v>
      </c>
      <c r="X33" s="28">
        <v>9.9000000000000005E-2</v>
      </c>
      <c r="Y33" s="28">
        <v>1.32E-2</v>
      </c>
      <c r="Z33" s="28">
        <v>0.13200000000000001</v>
      </c>
      <c r="AA33" s="28">
        <v>2.64E-2</v>
      </c>
      <c r="AB33" s="28">
        <v>0.19800000000000001</v>
      </c>
      <c r="AC33" s="28">
        <v>1.32E-2</v>
      </c>
      <c r="AD33" s="28">
        <v>0.13200000000000001</v>
      </c>
      <c r="AE33" s="28">
        <v>2.1010000000000001E-2</v>
      </c>
      <c r="AF33" s="28">
        <v>0.18304000000000001</v>
      </c>
      <c r="AG33" s="28">
        <v>1.54E-2</v>
      </c>
      <c r="AH33" s="28">
        <v>0.154</v>
      </c>
      <c r="AI33" s="28">
        <v>1.0999999999999999E-2</v>
      </c>
      <c r="AJ33" s="28">
        <v>0.11</v>
      </c>
      <c r="AK33" s="28">
        <v>1.54E-2</v>
      </c>
      <c r="AL33" s="28">
        <v>0.154</v>
      </c>
      <c r="AM33" s="207" t="s">
        <v>230</v>
      </c>
      <c r="AN33" s="207" t="s">
        <v>234</v>
      </c>
      <c r="AO33" s="208">
        <v>65.45</v>
      </c>
      <c r="AP33" s="208">
        <v>107.53</v>
      </c>
      <c r="AQ33" s="208" t="s">
        <v>237</v>
      </c>
      <c r="AR33" s="208">
        <v>0</v>
      </c>
      <c r="AS33" s="208" t="s">
        <v>239</v>
      </c>
      <c r="AT33" s="27">
        <v>1122</v>
      </c>
      <c r="AU33" s="32" t="s">
        <v>242</v>
      </c>
      <c r="AV33" s="30" t="s">
        <v>244</v>
      </c>
      <c r="AW33" s="30">
        <v>100.1</v>
      </c>
      <c r="AX33" s="32">
        <v>0</v>
      </c>
      <c r="AY33" s="29" t="s">
        <v>941</v>
      </c>
      <c r="AZ33" s="32">
        <v>550</v>
      </c>
      <c r="BA33" s="32">
        <v>1980</v>
      </c>
      <c r="BB33" s="32">
        <v>550</v>
      </c>
      <c r="BC33" s="32">
        <v>770</v>
      </c>
      <c r="BD33" s="32">
        <v>550</v>
      </c>
      <c r="BE33" s="32">
        <v>660</v>
      </c>
      <c r="BF33" s="32">
        <v>550</v>
      </c>
      <c r="BG33" s="32">
        <v>660</v>
      </c>
      <c r="BH33" s="32">
        <v>1980</v>
      </c>
      <c r="BI33" s="32">
        <v>550</v>
      </c>
      <c r="BJ33" s="32">
        <v>770</v>
      </c>
      <c r="BK33" s="32">
        <v>550</v>
      </c>
      <c r="BL33" s="32" t="s">
        <v>247</v>
      </c>
      <c r="BM33" s="30">
        <v>5.5</v>
      </c>
      <c r="BN33" s="30">
        <v>24</v>
      </c>
      <c r="BO33" s="30">
        <v>9000</v>
      </c>
      <c r="BP33" s="30">
        <v>600000</v>
      </c>
      <c r="BQ33" s="207">
        <v>52</v>
      </c>
      <c r="BR33" s="30" t="s">
        <v>248</v>
      </c>
      <c r="BS33" s="30" t="s">
        <v>113</v>
      </c>
      <c r="BT33" s="30" t="s">
        <v>2</v>
      </c>
      <c r="BU33" s="30" t="s">
        <v>247</v>
      </c>
      <c r="BV33" s="30" t="s">
        <v>250</v>
      </c>
      <c r="BW33" s="30">
        <v>600</v>
      </c>
      <c r="BX33" s="30">
        <v>3100</v>
      </c>
      <c r="BY33" s="30">
        <v>100</v>
      </c>
      <c r="BZ33" s="30">
        <v>75</v>
      </c>
      <c r="CA33" s="30" t="s">
        <v>2</v>
      </c>
      <c r="CB33" s="30" t="s">
        <v>2</v>
      </c>
      <c r="CC33" s="30" t="s">
        <v>2</v>
      </c>
      <c r="CD33" s="30" t="s">
        <v>3</v>
      </c>
      <c r="CE33" s="30" t="s">
        <v>3</v>
      </c>
      <c r="CF33" s="30">
        <v>752</v>
      </c>
      <c r="CG33" s="30">
        <v>12</v>
      </c>
      <c r="CH33" s="30" t="s">
        <v>56</v>
      </c>
      <c r="CI33" s="30" t="s">
        <v>2</v>
      </c>
      <c r="CJ33" s="30" t="s">
        <v>2</v>
      </c>
      <c r="CK33" s="30">
        <v>2000</v>
      </c>
      <c r="CL33" s="30" t="s">
        <v>2</v>
      </c>
      <c r="CM33" s="30" t="s">
        <v>2</v>
      </c>
      <c r="CN33" s="30" t="s">
        <v>113</v>
      </c>
      <c r="CO33" s="30" t="s">
        <v>255</v>
      </c>
      <c r="CP33" s="30" t="s">
        <v>256</v>
      </c>
      <c r="CQ33" s="30" t="s">
        <v>257</v>
      </c>
      <c r="CR33" s="30" t="s">
        <v>258</v>
      </c>
      <c r="CS33" s="30" t="s">
        <v>3</v>
      </c>
      <c r="CT33" s="30">
        <v>0</v>
      </c>
      <c r="CU33" s="30">
        <v>0</v>
      </c>
      <c r="CV33" s="27" t="str">
        <f t="shared" si="0"/>
        <v>1102R53AS0</v>
      </c>
      <c r="CW33" s="186" t="str">
        <f t="shared" si="1"/>
        <v>Kyocera</v>
      </c>
      <c r="CX33" s="186" t="str">
        <f>IF(Data!D33="E","Entry",IF(Data!D33="L","Low",IF(Data!D33="M","Medium","High")))</f>
        <v>Low</v>
      </c>
      <c r="CY33" s="187" t="str">
        <f t="shared" si="2"/>
        <v>MFD-Colour_Ky_L_2Y</v>
      </c>
    </row>
    <row r="34" spans="1:103" ht="20.100000000000001" customHeight="1" x14ac:dyDescent="0.2">
      <c r="A34" s="26" t="s">
        <v>459</v>
      </c>
      <c r="B34" s="26" t="s">
        <v>402</v>
      </c>
      <c r="C34" s="27" t="s">
        <v>7</v>
      </c>
      <c r="D34" s="184" t="s">
        <v>435</v>
      </c>
      <c r="E34" s="184">
        <v>3</v>
      </c>
      <c r="F34" s="184" t="s">
        <v>155</v>
      </c>
      <c r="G34" s="27" t="s">
        <v>226</v>
      </c>
      <c r="H34" s="27" t="s">
        <v>228</v>
      </c>
      <c r="I34" s="27">
        <v>30</v>
      </c>
      <c r="J34" s="185">
        <v>600000</v>
      </c>
      <c r="K34" s="185">
        <v>20000</v>
      </c>
      <c r="L34" s="32">
        <v>3135</v>
      </c>
      <c r="M34" s="28">
        <v>1.0999999999999999E-2</v>
      </c>
      <c r="N34" s="28">
        <v>8.7999999999999995E-2</v>
      </c>
      <c r="O34" s="28">
        <v>1.0999999999999999E-2</v>
      </c>
      <c r="P34" s="28">
        <v>0.11</v>
      </c>
      <c r="Q34" s="28">
        <v>2.8819999999999998E-2</v>
      </c>
      <c r="R34" s="28">
        <v>0.23529</v>
      </c>
      <c r="S34" s="28">
        <v>1.32E-2</v>
      </c>
      <c r="T34" s="28">
        <v>0.13200000000000001</v>
      </c>
      <c r="U34" s="28">
        <v>1.21E-2</v>
      </c>
      <c r="V34" s="28">
        <v>0.121</v>
      </c>
      <c r="W34" s="28">
        <v>1.32E-2</v>
      </c>
      <c r="X34" s="28">
        <v>0.13200000000000001</v>
      </c>
      <c r="Y34" s="28">
        <v>1.32E-2</v>
      </c>
      <c r="Z34" s="28">
        <v>0.13200000000000001</v>
      </c>
      <c r="AA34" s="28">
        <v>1.9800000000000002E-2</v>
      </c>
      <c r="AB34" s="28">
        <v>0.154</v>
      </c>
      <c r="AC34" s="28">
        <v>1.32E-2</v>
      </c>
      <c r="AD34" s="28">
        <v>0.13200000000000001</v>
      </c>
      <c r="AE34" s="28">
        <v>2.8819999999999998E-2</v>
      </c>
      <c r="AF34" s="28">
        <v>0.23529</v>
      </c>
      <c r="AG34" s="28">
        <v>2.1999999999999999E-2</v>
      </c>
      <c r="AH34" s="28">
        <v>0.154</v>
      </c>
      <c r="AI34" s="28">
        <v>1.21E-2</v>
      </c>
      <c r="AJ34" s="28">
        <v>0.121</v>
      </c>
      <c r="AK34" s="28">
        <v>2.1999999999999999E-2</v>
      </c>
      <c r="AL34" s="28">
        <v>0.154</v>
      </c>
      <c r="AM34" s="207" t="s">
        <v>229</v>
      </c>
      <c r="AN34" s="207" t="s">
        <v>233</v>
      </c>
      <c r="AO34" s="208">
        <v>119.68</v>
      </c>
      <c r="AP34" s="208">
        <v>130.9</v>
      </c>
      <c r="AQ34" s="208" t="s">
        <v>237</v>
      </c>
      <c r="AR34" s="208">
        <v>0</v>
      </c>
      <c r="AS34" s="208" t="s">
        <v>238</v>
      </c>
      <c r="AT34" s="27">
        <v>680.86</v>
      </c>
      <c r="AU34" s="32" t="s">
        <v>242</v>
      </c>
      <c r="AV34" s="30" t="s">
        <v>244</v>
      </c>
      <c r="AW34" s="30">
        <v>100.1</v>
      </c>
      <c r="AX34" s="32">
        <v>0</v>
      </c>
      <c r="AY34" s="29" t="s">
        <v>941</v>
      </c>
      <c r="AZ34" s="32">
        <v>440</v>
      </c>
      <c r="BA34" s="32">
        <v>1584</v>
      </c>
      <c r="BB34" s="32">
        <v>385</v>
      </c>
      <c r="BC34" s="32">
        <v>495</v>
      </c>
      <c r="BD34" s="32">
        <v>385</v>
      </c>
      <c r="BE34" s="32">
        <v>440</v>
      </c>
      <c r="BF34" s="32">
        <v>990</v>
      </c>
      <c r="BG34" s="32">
        <v>440</v>
      </c>
      <c r="BH34" s="32">
        <v>1584</v>
      </c>
      <c r="BI34" s="32">
        <v>385</v>
      </c>
      <c r="BJ34" s="32">
        <v>495</v>
      </c>
      <c r="BK34" s="32">
        <v>385</v>
      </c>
      <c r="BL34" s="32" t="s">
        <v>245</v>
      </c>
      <c r="BM34" s="30">
        <v>6.5</v>
      </c>
      <c r="BN34" s="30">
        <v>30</v>
      </c>
      <c r="BO34" s="30">
        <v>15000</v>
      </c>
      <c r="BP34" s="30">
        <v>600000</v>
      </c>
      <c r="BQ34" s="207">
        <v>53</v>
      </c>
      <c r="BR34" s="30" t="s">
        <v>248</v>
      </c>
      <c r="BS34" s="30" t="s">
        <v>113</v>
      </c>
      <c r="BT34" s="30" t="s">
        <v>2</v>
      </c>
      <c r="BU34" s="30" t="s">
        <v>246</v>
      </c>
      <c r="BV34" s="30" t="s">
        <v>251</v>
      </c>
      <c r="BW34" s="30">
        <v>600</v>
      </c>
      <c r="BX34" s="30">
        <v>1600</v>
      </c>
      <c r="BY34" s="30">
        <v>100</v>
      </c>
      <c r="BZ34" s="30">
        <v>50</v>
      </c>
      <c r="CA34" s="30" t="s">
        <v>2</v>
      </c>
      <c r="CB34" s="30" t="s">
        <v>2</v>
      </c>
      <c r="CC34" s="30" t="s">
        <v>2</v>
      </c>
      <c r="CD34" s="30" t="s">
        <v>3</v>
      </c>
      <c r="CE34" s="30" t="s">
        <v>3</v>
      </c>
      <c r="CF34" s="30">
        <v>580</v>
      </c>
      <c r="CG34" s="30">
        <v>36</v>
      </c>
      <c r="CH34" s="30" t="s">
        <v>253</v>
      </c>
      <c r="CI34" s="30" t="s">
        <v>2</v>
      </c>
      <c r="CJ34" s="30" t="s">
        <v>2</v>
      </c>
      <c r="CK34" s="30">
        <v>200</v>
      </c>
      <c r="CL34" s="30" t="s">
        <v>2</v>
      </c>
      <c r="CM34" s="30" t="s">
        <v>2</v>
      </c>
      <c r="CN34" s="30" t="s">
        <v>113</v>
      </c>
      <c r="CO34" s="30" t="s">
        <v>255</v>
      </c>
      <c r="CP34" s="30" t="s">
        <v>256</v>
      </c>
      <c r="CQ34" s="30" t="s">
        <v>257</v>
      </c>
      <c r="CR34" s="30" t="s">
        <v>258</v>
      </c>
      <c r="CS34" s="30" t="s">
        <v>3</v>
      </c>
      <c r="CT34" s="30">
        <v>0</v>
      </c>
      <c r="CU34" s="30">
        <v>0</v>
      </c>
      <c r="CV34" s="27" t="str">
        <f t="shared" ref="CV34:CV65" si="5">G34</f>
        <v>1102P33AS0</v>
      </c>
      <c r="CW34" s="186" t="str">
        <f t="shared" ref="CW34:CW65" si="6">C34</f>
        <v>Kyocera</v>
      </c>
      <c r="CX34" s="186" t="str">
        <f>IF(Data!D34="E","Entry",IF(Data!D34="L","Low",IF(Data!D34="M","Medium","High")))</f>
        <v>Low</v>
      </c>
      <c r="CY34" s="187" t="str">
        <f t="shared" ref="CY34:CY64" si="7">A34&amp;IF(H34="Not Offered","N","Y")</f>
        <v>MFD-Colour_Ky_L_3Y</v>
      </c>
    </row>
    <row r="35" spans="1:103" ht="20.100000000000001" customHeight="1" x14ac:dyDescent="0.2">
      <c r="A35" s="26" t="s">
        <v>460</v>
      </c>
      <c r="B35" s="26" t="s">
        <v>402</v>
      </c>
      <c r="C35" s="27" t="s">
        <v>7</v>
      </c>
      <c r="D35" s="184" t="s">
        <v>435</v>
      </c>
      <c r="E35" s="184">
        <v>4</v>
      </c>
      <c r="F35" s="184" t="s">
        <v>155</v>
      </c>
      <c r="G35" s="200" t="s">
        <v>2000</v>
      </c>
      <c r="H35" s="200" t="s">
        <v>2001</v>
      </c>
      <c r="I35" s="200">
        <v>35</v>
      </c>
      <c r="J35" s="185">
        <v>1500000</v>
      </c>
      <c r="K35" s="185">
        <v>25000</v>
      </c>
      <c r="L35" s="32">
        <v>4400</v>
      </c>
      <c r="M35" s="28">
        <v>5.4999999999999997E-3</v>
      </c>
      <c r="N35" s="28">
        <v>5.5E-2</v>
      </c>
      <c r="O35" s="28">
        <v>1.0999999999999999E-2</v>
      </c>
      <c r="P35" s="28">
        <v>0.11</v>
      </c>
      <c r="Q35" s="28">
        <v>2.1010000000000001E-2</v>
      </c>
      <c r="R35" s="28">
        <v>0.18304000000000001</v>
      </c>
      <c r="S35" s="28">
        <v>9.9000000000000008E-3</v>
      </c>
      <c r="T35" s="28">
        <v>9.9000000000000005E-2</v>
      </c>
      <c r="U35" s="28">
        <v>1.0999999999999999E-2</v>
      </c>
      <c r="V35" s="28">
        <v>0.11</v>
      </c>
      <c r="W35" s="28">
        <v>9.9000000000000008E-3</v>
      </c>
      <c r="X35" s="28">
        <v>9.9000000000000005E-2</v>
      </c>
      <c r="Y35" s="28">
        <v>1.0999999999999999E-2</v>
      </c>
      <c r="Z35" s="28">
        <v>0.11</v>
      </c>
      <c r="AA35" s="28">
        <v>1.9800000000000002E-2</v>
      </c>
      <c r="AB35" s="28">
        <v>0.13200000000000001</v>
      </c>
      <c r="AC35" s="28">
        <v>1.0999999999999999E-2</v>
      </c>
      <c r="AD35" s="28">
        <v>0.11</v>
      </c>
      <c r="AE35" s="28">
        <v>2.1010000000000001E-2</v>
      </c>
      <c r="AF35" s="28">
        <v>0.18304000000000001</v>
      </c>
      <c r="AG35" s="28">
        <v>1.43E-2</v>
      </c>
      <c r="AH35" s="28">
        <v>0.14299999999999999</v>
      </c>
      <c r="AI35" s="28">
        <v>1.0999999999999999E-2</v>
      </c>
      <c r="AJ35" s="28">
        <v>0.11</v>
      </c>
      <c r="AK35" s="28">
        <v>1.43E-2</v>
      </c>
      <c r="AL35" s="28">
        <v>0.14299999999999999</v>
      </c>
      <c r="AM35" s="207" t="s">
        <v>2002</v>
      </c>
      <c r="AN35" s="207" t="s">
        <v>2003</v>
      </c>
      <c r="AO35" s="208">
        <v>111.08</v>
      </c>
      <c r="AP35" s="208">
        <v>170.8</v>
      </c>
      <c r="AQ35" s="208" t="s">
        <v>237</v>
      </c>
      <c r="AR35" s="208">
        <v>0</v>
      </c>
      <c r="AS35" s="208" t="s">
        <v>1999</v>
      </c>
      <c r="AT35" s="27">
        <v>232.82</v>
      </c>
      <c r="AU35" s="32" t="s">
        <v>243</v>
      </c>
      <c r="AV35" s="30" t="s">
        <v>244</v>
      </c>
      <c r="AW35" s="30">
        <v>137.5</v>
      </c>
      <c r="AX35" s="32">
        <v>0</v>
      </c>
      <c r="AY35" s="29" t="s">
        <v>941</v>
      </c>
      <c r="AZ35" s="32">
        <v>990</v>
      </c>
      <c r="BA35" s="32">
        <v>1980</v>
      </c>
      <c r="BB35" s="32">
        <v>660</v>
      </c>
      <c r="BC35" s="32">
        <v>880</v>
      </c>
      <c r="BD35" s="32">
        <v>660</v>
      </c>
      <c r="BE35" s="32">
        <v>825</v>
      </c>
      <c r="BF35" s="32">
        <v>1210</v>
      </c>
      <c r="BG35" s="32">
        <v>825</v>
      </c>
      <c r="BH35" s="32">
        <v>1980</v>
      </c>
      <c r="BI35" s="32">
        <v>550</v>
      </c>
      <c r="BJ35" s="32">
        <v>880</v>
      </c>
      <c r="BK35" s="32">
        <v>550</v>
      </c>
      <c r="BL35" s="32" t="s">
        <v>246</v>
      </c>
      <c r="BM35" s="30">
        <v>5.3</v>
      </c>
      <c r="BN35" s="30">
        <v>18</v>
      </c>
      <c r="BO35" s="30">
        <v>20000</v>
      </c>
      <c r="BP35" s="30">
        <v>1500000</v>
      </c>
      <c r="BQ35" s="207">
        <v>35</v>
      </c>
      <c r="BR35" s="30" t="s">
        <v>248</v>
      </c>
      <c r="BS35" s="30" t="s">
        <v>113</v>
      </c>
      <c r="BT35" s="30" t="s">
        <v>2</v>
      </c>
      <c r="BU35" s="30" t="s">
        <v>246</v>
      </c>
      <c r="BV35" s="30" t="s">
        <v>249</v>
      </c>
      <c r="BW35" s="30">
        <v>1150</v>
      </c>
      <c r="BX35" s="30">
        <v>7150</v>
      </c>
      <c r="BY35" s="30">
        <v>150</v>
      </c>
      <c r="BZ35" s="30">
        <v>140</v>
      </c>
      <c r="CA35" s="30" t="s">
        <v>2</v>
      </c>
      <c r="CB35" s="30" t="s">
        <v>2</v>
      </c>
      <c r="CC35" s="30" t="s">
        <v>2</v>
      </c>
      <c r="CD35" s="30" t="s">
        <v>3</v>
      </c>
      <c r="CE35" s="30" t="s">
        <v>3</v>
      </c>
      <c r="CF35" s="207">
        <v>590</v>
      </c>
      <c r="CG35" s="30">
        <v>12</v>
      </c>
      <c r="CH35" s="30" t="s">
        <v>135</v>
      </c>
      <c r="CI35" s="30" t="s">
        <v>2</v>
      </c>
      <c r="CJ35" s="30" t="s">
        <v>2</v>
      </c>
      <c r="CK35" s="30">
        <v>2000</v>
      </c>
      <c r="CL35" s="30" t="s">
        <v>2</v>
      </c>
      <c r="CM35" s="30" t="s">
        <v>2</v>
      </c>
      <c r="CN35" s="30" t="s">
        <v>113</v>
      </c>
      <c r="CO35" s="30" t="s">
        <v>255</v>
      </c>
      <c r="CP35" s="30" t="s">
        <v>256</v>
      </c>
      <c r="CQ35" s="30" t="s">
        <v>257</v>
      </c>
      <c r="CR35" s="30" t="s">
        <v>258</v>
      </c>
      <c r="CS35" s="30" t="s">
        <v>3</v>
      </c>
      <c r="CT35" s="30">
        <v>0</v>
      </c>
      <c r="CU35" s="30">
        <v>0</v>
      </c>
      <c r="CV35" s="27" t="str">
        <f t="shared" si="5"/>
        <v>1102YP3ASX</v>
      </c>
      <c r="CW35" s="186" t="str">
        <f t="shared" si="6"/>
        <v>Kyocera</v>
      </c>
      <c r="CX35" s="186" t="str">
        <f>IF(Data!D35="E","Entry",IF(Data!D35="L","Low",IF(Data!D35="M","Medium","High")))</f>
        <v>Low</v>
      </c>
      <c r="CY35" s="187" t="str">
        <f t="shared" si="7"/>
        <v>MFD-Colour_Ky_L_4Y</v>
      </c>
    </row>
    <row r="36" spans="1:103" ht="20.100000000000001" customHeight="1" x14ac:dyDescent="0.2">
      <c r="A36" s="26" t="s">
        <v>461</v>
      </c>
      <c r="B36" s="26" t="s">
        <v>402</v>
      </c>
      <c r="C36" s="27" t="s">
        <v>7</v>
      </c>
      <c r="D36" s="184" t="s">
        <v>433</v>
      </c>
      <c r="E36" s="184">
        <v>1</v>
      </c>
      <c r="F36" s="184" t="s">
        <v>156</v>
      </c>
      <c r="G36" s="27" t="s">
        <v>227</v>
      </c>
      <c r="H36" s="27" t="s">
        <v>1934</v>
      </c>
      <c r="I36" s="27">
        <v>40</v>
      </c>
      <c r="J36" s="185">
        <v>900000</v>
      </c>
      <c r="K36" s="185">
        <v>15000</v>
      </c>
      <c r="L36" s="32">
        <v>3668.5</v>
      </c>
      <c r="M36" s="28">
        <v>7.1500000000000001E-3</v>
      </c>
      <c r="N36" s="28">
        <v>5.5E-2</v>
      </c>
      <c r="O36" s="28">
        <v>1.0999999999999999E-2</v>
      </c>
      <c r="P36" s="28">
        <v>0.11</v>
      </c>
      <c r="Q36" s="28">
        <v>2.1000000000000001E-2</v>
      </c>
      <c r="R36" s="28">
        <v>0.18304000000000001</v>
      </c>
      <c r="S36" s="28">
        <v>9.9000000000000008E-3</v>
      </c>
      <c r="T36" s="28">
        <v>9.9000000000000005E-2</v>
      </c>
      <c r="U36" s="28">
        <v>1.0999999999999999E-2</v>
      </c>
      <c r="V36" s="28">
        <v>0.11</v>
      </c>
      <c r="W36" s="28">
        <v>9.9000000000000008E-3</v>
      </c>
      <c r="X36" s="28">
        <v>9.9000000000000005E-2</v>
      </c>
      <c r="Y36" s="28">
        <v>1.32E-2</v>
      </c>
      <c r="Z36" s="28">
        <v>0.13200000000000001</v>
      </c>
      <c r="AA36" s="28">
        <v>2.64E-2</v>
      </c>
      <c r="AB36" s="28">
        <v>0.19800000000000001</v>
      </c>
      <c r="AC36" s="28">
        <v>1.32E-2</v>
      </c>
      <c r="AD36" s="28">
        <v>0.13200000000000001</v>
      </c>
      <c r="AE36" s="28">
        <v>2.1000000000000001E-2</v>
      </c>
      <c r="AF36" s="28">
        <v>0.18304000000000001</v>
      </c>
      <c r="AG36" s="28">
        <v>1.54E-2</v>
      </c>
      <c r="AH36" s="28">
        <v>0.154</v>
      </c>
      <c r="AI36" s="28">
        <v>1.0999999999999999E-2</v>
      </c>
      <c r="AJ36" s="28">
        <v>0.11</v>
      </c>
      <c r="AK36" s="28">
        <v>0.154</v>
      </c>
      <c r="AL36" s="28">
        <v>0.154</v>
      </c>
      <c r="AM36" s="30" t="s">
        <v>231</v>
      </c>
      <c r="AN36" s="30" t="s">
        <v>235</v>
      </c>
      <c r="AO36" s="32">
        <v>70.12</v>
      </c>
      <c r="AP36" s="32">
        <v>128.1</v>
      </c>
      <c r="AQ36" s="32" t="s">
        <v>237</v>
      </c>
      <c r="AR36" s="32">
        <v>0</v>
      </c>
      <c r="AS36" s="32" t="s">
        <v>240</v>
      </c>
      <c r="AT36" s="27">
        <v>1402.5</v>
      </c>
      <c r="AU36" s="32" t="s">
        <v>242</v>
      </c>
      <c r="AV36" s="30" t="s">
        <v>244</v>
      </c>
      <c r="AW36" s="30">
        <v>100.1</v>
      </c>
      <c r="AX36" s="32">
        <v>0</v>
      </c>
      <c r="AY36" s="29" t="s">
        <v>941</v>
      </c>
      <c r="AZ36" s="32">
        <v>550</v>
      </c>
      <c r="BA36" s="32">
        <v>1980</v>
      </c>
      <c r="BB36" s="32">
        <v>550</v>
      </c>
      <c r="BC36" s="32">
        <v>770</v>
      </c>
      <c r="BD36" s="32">
        <v>550</v>
      </c>
      <c r="BE36" s="32">
        <v>660</v>
      </c>
      <c r="BF36" s="32">
        <v>550</v>
      </c>
      <c r="BG36" s="32">
        <v>660</v>
      </c>
      <c r="BH36" s="32">
        <v>1980</v>
      </c>
      <c r="BI36" s="32">
        <v>550</v>
      </c>
      <c r="BJ36" s="32">
        <v>770</v>
      </c>
      <c r="BK36" s="32">
        <v>550</v>
      </c>
      <c r="BL36" s="32" t="s">
        <v>246</v>
      </c>
      <c r="BM36" s="30">
        <v>5.4</v>
      </c>
      <c r="BN36" s="30">
        <v>24</v>
      </c>
      <c r="BO36" s="30">
        <v>12000</v>
      </c>
      <c r="BP36" s="30">
        <v>900000</v>
      </c>
      <c r="BQ36" s="30">
        <v>53.5</v>
      </c>
      <c r="BR36" s="30" t="s">
        <v>248</v>
      </c>
      <c r="BS36" s="30" t="s">
        <v>113</v>
      </c>
      <c r="BT36" s="30" t="s">
        <v>2</v>
      </c>
      <c r="BU36" s="30" t="s">
        <v>246</v>
      </c>
      <c r="BV36" s="30" t="s">
        <v>252</v>
      </c>
      <c r="BW36" s="30">
        <v>600</v>
      </c>
      <c r="BX36" s="30">
        <v>3100</v>
      </c>
      <c r="BY36" s="30">
        <v>100</v>
      </c>
      <c r="BZ36" s="30">
        <v>75</v>
      </c>
      <c r="CA36" s="30" t="s">
        <v>2</v>
      </c>
      <c r="CB36" s="30" t="s">
        <v>2</v>
      </c>
      <c r="CC36" s="30" t="s">
        <v>2</v>
      </c>
      <c r="CD36" s="30" t="s">
        <v>3</v>
      </c>
      <c r="CE36" s="30" t="s">
        <v>2</v>
      </c>
      <c r="CF36" s="30">
        <v>752</v>
      </c>
      <c r="CG36" s="30">
        <v>12</v>
      </c>
      <c r="CH36" s="30" t="s">
        <v>56</v>
      </c>
      <c r="CI36" s="30" t="s">
        <v>2</v>
      </c>
      <c r="CJ36" s="30" t="s">
        <v>2</v>
      </c>
      <c r="CK36" s="30">
        <v>2000</v>
      </c>
      <c r="CL36" s="30" t="s">
        <v>2</v>
      </c>
      <c r="CM36" s="30" t="s">
        <v>2</v>
      </c>
      <c r="CN36" s="30" t="s">
        <v>113</v>
      </c>
      <c r="CO36" s="30" t="s">
        <v>255</v>
      </c>
      <c r="CP36" s="30" t="s">
        <v>256</v>
      </c>
      <c r="CQ36" s="30" t="s">
        <v>257</v>
      </c>
      <c r="CR36" s="30" t="s">
        <v>258</v>
      </c>
      <c r="CS36" s="30" t="s">
        <v>3</v>
      </c>
      <c r="CT36" s="30">
        <v>0</v>
      </c>
      <c r="CU36" s="30">
        <v>0</v>
      </c>
      <c r="CV36" s="27" t="str">
        <f t="shared" si="5"/>
        <v>1102R63AS0</v>
      </c>
      <c r="CW36" s="186" t="str">
        <f t="shared" si="6"/>
        <v>Kyocera</v>
      </c>
      <c r="CX36" s="186" t="str">
        <f>IF(Data!D36="E","Entry",IF(Data!D36="L","Low",IF(Data!D36="M","Medium","High")))</f>
        <v>Medium</v>
      </c>
      <c r="CY36" s="187" t="str">
        <f t="shared" si="7"/>
        <v>MFD-Colour_Ky_M_1Y</v>
      </c>
    </row>
    <row r="37" spans="1:103" ht="20.100000000000001" customHeight="1" x14ac:dyDescent="0.2">
      <c r="A37" s="26" t="s">
        <v>462</v>
      </c>
      <c r="B37" s="26" t="s">
        <v>402</v>
      </c>
      <c r="C37" s="27" t="s">
        <v>7</v>
      </c>
      <c r="D37" s="184" t="s">
        <v>433</v>
      </c>
      <c r="E37" s="184">
        <v>2</v>
      </c>
      <c r="F37" s="184" t="s">
        <v>156</v>
      </c>
      <c r="G37" s="200" t="s">
        <v>2031</v>
      </c>
      <c r="H37" s="200" t="s">
        <v>2032</v>
      </c>
      <c r="I37" s="27">
        <v>40</v>
      </c>
      <c r="J37" s="185">
        <v>2100000</v>
      </c>
      <c r="K37" s="185">
        <v>35000</v>
      </c>
      <c r="L37" s="32">
        <v>5186.5</v>
      </c>
      <c r="M37" s="28">
        <v>5.4999999999999997E-3</v>
      </c>
      <c r="N37" s="28">
        <v>5.5E-2</v>
      </c>
      <c r="O37" s="28">
        <v>1.0999999999999999E-2</v>
      </c>
      <c r="P37" s="28">
        <v>0.11</v>
      </c>
      <c r="Q37" s="28">
        <v>2.1000000000000001E-2</v>
      </c>
      <c r="R37" s="28">
        <v>0.16994999999999999</v>
      </c>
      <c r="S37" s="28">
        <v>9.9000000000000008E-3</v>
      </c>
      <c r="T37" s="28">
        <v>9.9000000000000005E-2</v>
      </c>
      <c r="U37" s="28">
        <v>1.0999999999999999E-2</v>
      </c>
      <c r="V37" s="28">
        <v>0.11</v>
      </c>
      <c r="W37" s="28">
        <v>9.9000000000000008E-3</v>
      </c>
      <c r="X37" s="28">
        <v>9.9000000000000005E-2</v>
      </c>
      <c r="Y37" s="28">
        <v>1.0999999999999999E-2</v>
      </c>
      <c r="Z37" s="28">
        <v>0.11</v>
      </c>
      <c r="AA37" s="28">
        <v>1.7600000000000001E-2</v>
      </c>
      <c r="AB37" s="28">
        <v>0.13200000000000001</v>
      </c>
      <c r="AC37" s="28">
        <v>1.0999999999999999E-2</v>
      </c>
      <c r="AD37" s="28">
        <v>0.11</v>
      </c>
      <c r="AE37" s="28">
        <v>2.1000000000000001E-2</v>
      </c>
      <c r="AF37" s="28">
        <v>0.16994999999999999</v>
      </c>
      <c r="AG37" s="28">
        <v>1.43E-2</v>
      </c>
      <c r="AH37" s="28">
        <v>0.14299999999999999</v>
      </c>
      <c r="AI37" s="28">
        <v>1.0999999999999999E-2</v>
      </c>
      <c r="AJ37" s="28">
        <v>0.11</v>
      </c>
      <c r="AK37" s="28">
        <v>1.43E-2</v>
      </c>
      <c r="AL37" s="28">
        <v>0.14299999999999999</v>
      </c>
      <c r="AM37" s="207" t="s">
        <v>2035</v>
      </c>
      <c r="AN37" s="207" t="s">
        <v>2036</v>
      </c>
      <c r="AO37" s="208">
        <v>92.56</v>
      </c>
      <c r="AP37" s="208">
        <v>128.1</v>
      </c>
      <c r="AQ37" s="32" t="s">
        <v>237</v>
      </c>
      <c r="AR37" s="32">
        <v>0</v>
      </c>
      <c r="AS37" s="208" t="s">
        <v>2039</v>
      </c>
      <c r="AT37" s="200">
        <v>1345.47</v>
      </c>
      <c r="AU37" s="32" t="s">
        <v>243</v>
      </c>
      <c r="AV37" s="30" t="s">
        <v>244</v>
      </c>
      <c r="AW37" s="30">
        <v>137.5</v>
      </c>
      <c r="AX37" s="32">
        <v>0</v>
      </c>
      <c r="AY37" s="29" t="s">
        <v>941</v>
      </c>
      <c r="AZ37" s="32">
        <v>990</v>
      </c>
      <c r="BA37" s="32">
        <v>2376</v>
      </c>
      <c r="BB37" s="32">
        <v>770</v>
      </c>
      <c r="BC37" s="32">
        <v>990</v>
      </c>
      <c r="BD37" s="32">
        <v>770</v>
      </c>
      <c r="BE37" s="32">
        <v>825</v>
      </c>
      <c r="BF37" s="32">
        <v>1540</v>
      </c>
      <c r="BG37" s="32">
        <v>825</v>
      </c>
      <c r="BH37" s="32">
        <v>2376</v>
      </c>
      <c r="BI37" s="32">
        <v>660</v>
      </c>
      <c r="BJ37" s="32">
        <v>990</v>
      </c>
      <c r="BK37" s="32">
        <v>660</v>
      </c>
      <c r="BL37" s="32" t="s">
        <v>246</v>
      </c>
      <c r="BM37" s="207">
        <v>5.0999999999999996</v>
      </c>
      <c r="BN37" s="207">
        <v>17</v>
      </c>
      <c r="BO37" s="30">
        <v>30000</v>
      </c>
      <c r="BP37" s="30">
        <v>2100000</v>
      </c>
      <c r="BQ37" s="30">
        <v>67</v>
      </c>
      <c r="BR37" s="30" t="s">
        <v>248</v>
      </c>
      <c r="BS37" s="30" t="s">
        <v>113</v>
      </c>
      <c r="BT37" s="30" t="s">
        <v>2</v>
      </c>
      <c r="BU37" s="30" t="s">
        <v>246</v>
      </c>
      <c r="BV37" s="30" t="s">
        <v>249</v>
      </c>
      <c r="BW37" s="30">
        <v>1150</v>
      </c>
      <c r="BX37" s="30">
        <v>7150</v>
      </c>
      <c r="BY37" s="30">
        <v>100</v>
      </c>
      <c r="BZ37" s="30">
        <v>140</v>
      </c>
      <c r="CA37" s="30" t="s">
        <v>2</v>
      </c>
      <c r="CB37" s="30" t="s">
        <v>2</v>
      </c>
      <c r="CC37" s="30" t="s">
        <v>2</v>
      </c>
      <c r="CD37" s="30" t="s">
        <v>3</v>
      </c>
      <c r="CE37" s="30" t="s">
        <v>2</v>
      </c>
      <c r="CF37" s="30">
        <v>730</v>
      </c>
      <c r="CG37" s="30">
        <v>12</v>
      </c>
      <c r="CH37" s="30" t="s">
        <v>135</v>
      </c>
      <c r="CI37" s="30" t="s">
        <v>2</v>
      </c>
      <c r="CJ37" s="30" t="s">
        <v>2</v>
      </c>
      <c r="CK37" s="30">
        <v>2000</v>
      </c>
      <c r="CL37" s="30" t="s">
        <v>2</v>
      </c>
      <c r="CM37" s="30" t="s">
        <v>2</v>
      </c>
      <c r="CN37" s="30" t="s">
        <v>113</v>
      </c>
      <c r="CO37" s="30" t="s">
        <v>255</v>
      </c>
      <c r="CP37" s="30" t="s">
        <v>256</v>
      </c>
      <c r="CQ37" s="30" t="s">
        <v>257</v>
      </c>
      <c r="CR37" s="30" t="s">
        <v>258</v>
      </c>
      <c r="CS37" s="30" t="s">
        <v>3</v>
      </c>
      <c r="CT37" s="30">
        <v>0</v>
      </c>
      <c r="CU37" s="30">
        <v>0</v>
      </c>
      <c r="CV37" s="27" t="str">
        <f t="shared" si="5"/>
        <v>1102YN3AU0</v>
      </c>
      <c r="CW37" s="186" t="str">
        <f t="shared" si="6"/>
        <v>Kyocera</v>
      </c>
      <c r="CX37" s="186" t="str">
        <f>IF(Data!D37="E","Entry",IF(Data!D37="L","Low",IF(Data!D37="M","Medium","High")))</f>
        <v>Medium</v>
      </c>
      <c r="CY37" s="187" t="str">
        <f t="shared" si="7"/>
        <v>MFD-Colour_Ky_M_2Y</v>
      </c>
    </row>
    <row r="38" spans="1:103" ht="20.100000000000001" customHeight="1" x14ac:dyDescent="0.2">
      <c r="A38" s="26" t="s">
        <v>463</v>
      </c>
      <c r="B38" s="26" t="s">
        <v>402</v>
      </c>
      <c r="C38" s="27" t="s">
        <v>7</v>
      </c>
      <c r="D38" s="184" t="s">
        <v>433</v>
      </c>
      <c r="E38" s="184">
        <v>3</v>
      </c>
      <c r="F38" s="184" t="s">
        <v>156</v>
      </c>
      <c r="G38" s="200" t="s">
        <v>2033</v>
      </c>
      <c r="H38" s="200" t="s">
        <v>2034</v>
      </c>
      <c r="I38" s="27">
        <v>50</v>
      </c>
      <c r="J38" s="201">
        <v>2400000</v>
      </c>
      <c r="K38" s="201">
        <v>40000</v>
      </c>
      <c r="L38" s="32">
        <v>6286.5</v>
      </c>
      <c r="M38" s="28">
        <v>5.4999999999999997E-3</v>
      </c>
      <c r="N38" s="28">
        <v>5.5E-2</v>
      </c>
      <c r="O38" s="28">
        <v>1.0999999999999999E-2</v>
      </c>
      <c r="P38" s="28">
        <v>0.11</v>
      </c>
      <c r="Q38" s="28">
        <v>1.9689999999999999E-2</v>
      </c>
      <c r="R38" s="28">
        <v>0.15686</v>
      </c>
      <c r="S38" s="28">
        <v>9.9000000000000008E-3</v>
      </c>
      <c r="T38" s="28">
        <v>9.9000000000000005E-2</v>
      </c>
      <c r="U38" s="28">
        <v>1.0999999999999999E-2</v>
      </c>
      <c r="V38" s="28">
        <v>0.11</v>
      </c>
      <c r="W38" s="28">
        <v>9.9000000000000008E-3</v>
      </c>
      <c r="X38" s="28">
        <v>9.9000000000000005E-2</v>
      </c>
      <c r="Y38" s="28">
        <v>1.0999999999999999E-2</v>
      </c>
      <c r="Z38" s="28">
        <v>0.11</v>
      </c>
      <c r="AA38" s="28">
        <v>1.7600000000000001E-2</v>
      </c>
      <c r="AB38" s="28">
        <v>0.13200000000000001</v>
      </c>
      <c r="AC38" s="28">
        <v>1.0999999999999999E-2</v>
      </c>
      <c r="AD38" s="28">
        <v>0.11</v>
      </c>
      <c r="AE38" s="28">
        <v>1.9689999999999999E-2</v>
      </c>
      <c r="AF38" s="28">
        <v>0.15686</v>
      </c>
      <c r="AG38" s="28">
        <v>1.43E-2</v>
      </c>
      <c r="AH38" s="28">
        <v>0.14299999999999999</v>
      </c>
      <c r="AI38" s="28">
        <v>1.0999999999999999E-2</v>
      </c>
      <c r="AJ38" s="28">
        <v>0.11</v>
      </c>
      <c r="AK38" s="28">
        <v>1.43E-2</v>
      </c>
      <c r="AL38" s="28">
        <v>0.14299999999999999</v>
      </c>
      <c r="AM38" s="207" t="s">
        <v>2037</v>
      </c>
      <c r="AN38" s="207" t="s">
        <v>2038</v>
      </c>
      <c r="AO38" s="208">
        <v>123.42</v>
      </c>
      <c r="AP38" s="208">
        <v>153.71</v>
      </c>
      <c r="AQ38" s="32" t="s">
        <v>237</v>
      </c>
      <c r="AR38" s="32">
        <v>0</v>
      </c>
      <c r="AS38" s="208" t="s">
        <v>2039</v>
      </c>
      <c r="AT38" s="200">
        <v>1345.47</v>
      </c>
      <c r="AU38" s="32" t="s">
        <v>243</v>
      </c>
      <c r="AV38" s="30" t="s">
        <v>244</v>
      </c>
      <c r="AW38" s="30">
        <v>137.5</v>
      </c>
      <c r="AX38" s="32">
        <v>0</v>
      </c>
      <c r="AY38" s="29" t="s">
        <v>941</v>
      </c>
      <c r="AZ38" s="32">
        <v>990</v>
      </c>
      <c r="BA38" s="32">
        <v>2376</v>
      </c>
      <c r="BB38" s="32">
        <v>990</v>
      </c>
      <c r="BC38" s="32">
        <v>1210</v>
      </c>
      <c r="BD38" s="32">
        <v>825</v>
      </c>
      <c r="BE38" s="32">
        <v>990</v>
      </c>
      <c r="BF38" s="32">
        <v>1870</v>
      </c>
      <c r="BG38" s="32">
        <v>990</v>
      </c>
      <c r="BH38" s="32">
        <v>2376</v>
      </c>
      <c r="BI38" s="32">
        <v>660</v>
      </c>
      <c r="BJ38" s="32">
        <v>1210</v>
      </c>
      <c r="BK38" s="32">
        <v>660</v>
      </c>
      <c r="BL38" s="32" t="s">
        <v>246</v>
      </c>
      <c r="BM38" s="207">
        <v>4.3</v>
      </c>
      <c r="BN38" s="207">
        <v>17</v>
      </c>
      <c r="BO38" s="30">
        <v>40000</v>
      </c>
      <c r="BP38" s="30">
        <v>3000000</v>
      </c>
      <c r="BQ38" s="30">
        <v>68</v>
      </c>
      <c r="BR38" s="30" t="s">
        <v>248</v>
      </c>
      <c r="BS38" s="30" t="s">
        <v>113</v>
      </c>
      <c r="BT38" s="30" t="s">
        <v>2</v>
      </c>
      <c r="BU38" s="30" t="s">
        <v>246</v>
      </c>
      <c r="BV38" s="30" t="s">
        <v>249</v>
      </c>
      <c r="BW38" s="30">
        <v>1150</v>
      </c>
      <c r="BX38" s="30">
        <v>7150</v>
      </c>
      <c r="BY38" s="30">
        <v>100</v>
      </c>
      <c r="BZ38" s="30">
        <v>140</v>
      </c>
      <c r="CA38" s="30" t="s">
        <v>2</v>
      </c>
      <c r="CB38" s="30" t="s">
        <v>2</v>
      </c>
      <c r="CC38" s="30" t="s">
        <v>2</v>
      </c>
      <c r="CD38" s="30" t="s">
        <v>3</v>
      </c>
      <c r="CE38" s="30" t="s">
        <v>2</v>
      </c>
      <c r="CF38" s="30">
        <v>860</v>
      </c>
      <c r="CG38" s="30">
        <v>12</v>
      </c>
      <c r="CH38" s="30" t="s">
        <v>135</v>
      </c>
      <c r="CI38" s="30" t="s">
        <v>2</v>
      </c>
      <c r="CJ38" s="30" t="s">
        <v>2</v>
      </c>
      <c r="CK38" s="30">
        <v>2000</v>
      </c>
      <c r="CL38" s="30" t="s">
        <v>2</v>
      </c>
      <c r="CM38" s="30" t="s">
        <v>2</v>
      </c>
      <c r="CN38" s="30" t="s">
        <v>113</v>
      </c>
      <c r="CO38" s="30" t="s">
        <v>255</v>
      </c>
      <c r="CP38" s="30" t="s">
        <v>256</v>
      </c>
      <c r="CQ38" s="30" t="s">
        <v>257</v>
      </c>
      <c r="CR38" s="30" t="s">
        <v>258</v>
      </c>
      <c r="CS38" s="30" t="s">
        <v>3</v>
      </c>
      <c r="CT38" s="30">
        <v>0</v>
      </c>
      <c r="CU38" s="30">
        <v>0</v>
      </c>
      <c r="CV38" s="27" t="str">
        <f t="shared" si="5"/>
        <v>822UG05054</v>
      </c>
      <c r="CW38" s="186" t="str">
        <f t="shared" si="6"/>
        <v>Kyocera</v>
      </c>
      <c r="CX38" s="186" t="str">
        <f>IF(Data!D38="E","Entry",IF(Data!D38="L","Low",IF(Data!D38="M","Medium","High")))</f>
        <v>Medium</v>
      </c>
      <c r="CY38" s="187" t="str">
        <f t="shared" si="7"/>
        <v>MFD-Colour_Ky_M_3Y</v>
      </c>
    </row>
    <row r="39" spans="1:103" ht="20.100000000000001" customHeight="1" x14ac:dyDescent="0.2">
      <c r="A39" s="26" t="s">
        <v>464</v>
      </c>
      <c r="B39" s="26" t="s">
        <v>402</v>
      </c>
      <c r="C39" s="27" t="s">
        <v>7</v>
      </c>
      <c r="D39" s="184" t="s">
        <v>433</v>
      </c>
      <c r="E39" s="184">
        <v>4</v>
      </c>
      <c r="F39" s="184" t="s">
        <v>156</v>
      </c>
      <c r="G39" s="27">
        <v>0</v>
      </c>
      <c r="H39" s="27" t="s">
        <v>899</v>
      </c>
      <c r="I39" s="27">
        <v>0</v>
      </c>
      <c r="J39" s="185">
        <v>0</v>
      </c>
      <c r="K39" s="185">
        <v>0</v>
      </c>
      <c r="L39" s="32">
        <v>0</v>
      </c>
      <c r="M39" s="28">
        <v>0</v>
      </c>
      <c r="N39" s="28">
        <v>0</v>
      </c>
      <c r="O39" s="28">
        <v>0</v>
      </c>
      <c r="P39" s="28">
        <v>0</v>
      </c>
      <c r="Q39" s="28">
        <v>0</v>
      </c>
      <c r="R39" s="28">
        <v>0</v>
      </c>
      <c r="S39" s="28">
        <v>0</v>
      </c>
      <c r="T39" s="28">
        <v>0</v>
      </c>
      <c r="U39" s="28">
        <v>0</v>
      </c>
      <c r="V39" s="28">
        <v>0</v>
      </c>
      <c r="W39" s="28">
        <v>0</v>
      </c>
      <c r="X39" s="28">
        <v>0</v>
      </c>
      <c r="Y39" s="28">
        <v>0</v>
      </c>
      <c r="Z39" s="28">
        <v>0</v>
      </c>
      <c r="AA39" s="28">
        <v>0</v>
      </c>
      <c r="AB39" s="28">
        <v>0</v>
      </c>
      <c r="AC39" s="28">
        <v>0</v>
      </c>
      <c r="AD39" s="28">
        <v>0</v>
      </c>
      <c r="AE39" s="28">
        <v>0</v>
      </c>
      <c r="AF39" s="28">
        <v>0</v>
      </c>
      <c r="AG39" s="28">
        <v>0</v>
      </c>
      <c r="AH39" s="28">
        <v>0</v>
      </c>
      <c r="AI39" s="28">
        <v>0</v>
      </c>
      <c r="AJ39" s="28">
        <v>0</v>
      </c>
      <c r="AK39" s="28">
        <v>0</v>
      </c>
      <c r="AL39" s="28">
        <v>0</v>
      </c>
      <c r="AM39" s="30">
        <v>0</v>
      </c>
      <c r="AN39" s="30">
        <v>0</v>
      </c>
      <c r="AO39" s="32">
        <v>0</v>
      </c>
      <c r="AP39" s="32">
        <v>0</v>
      </c>
      <c r="AQ39" s="32">
        <v>0</v>
      </c>
      <c r="AR39" s="32">
        <v>0</v>
      </c>
      <c r="AS39" s="32">
        <v>0</v>
      </c>
      <c r="AT39" s="27">
        <v>0</v>
      </c>
      <c r="AU39" s="32">
        <v>0</v>
      </c>
      <c r="AV39" s="30">
        <v>0</v>
      </c>
      <c r="AW39" s="30">
        <v>0</v>
      </c>
      <c r="AX39" s="32">
        <v>0</v>
      </c>
      <c r="AY39" s="27">
        <v>0</v>
      </c>
      <c r="AZ39" s="32">
        <v>0</v>
      </c>
      <c r="BA39" s="32">
        <v>0</v>
      </c>
      <c r="BB39" s="32">
        <v>0</v>
      </c>
      <c r="BC39" s="32">
        <v>0</v>
      </c>
      <c r="BD39" s="32">
        <v>0</v>
      </c>
      <c r="BE39" s="32">
        <v>0</v>
      </c>
      <c r="BF39" s="32">
        <v>0</v>
      </c>
      <c r="BG39" s="32">
        <v>0</v>
      </c>
      <c r="BH39" s="32">
        <v>0</v>
      </c>
      <c r="BI39" s="32">
        <v>0</v>
      </c>
      <c r="BJ39" s="32">
        <v>0</v>
      </c>
      <c r="BK39" s="32">
        <v>0</v>
      </c>
      <c r="BL39" s="32">
        <v>0</v>
      </c>
      <c r="BM39" s="30">
        <v>0</v>
      </c>
      <c r="BN39" s="30">
        <v>0</v>
      </c>
      <c r="BO39" s="30">
        <v>0</v>
      </c>
      <c r="BP39" s="30">
        <v>0</v>
      </c>
      <c r="BQ39" s="30">
        <v>0</v>
      </c>
      <c r="BR39" s="30">
        <v>0</v>
      </c>
      <c r="BS39" s="30">
        <v>0</v>
      </c>
      <c r="BT39" s="30">
        <v>0</v>
      </c>
      <c r="BU39" s="30">
        <v>0</v>
      </c>
      <c r="BV39" s="30">
        <v>0</v>
      </c>
      <c r="BW39" s="30">
        <v>0</v>
      </c>
      <c r="BX39" s="30">
        <v>0</v>
      </c>
      <c r="BY39" s="30">
        <v>0</v>
      </c>
      <c r="BZ39" s="30">
        <v>0</v>
      </c>
      <c r="CA39" s="30">
        <v>0</v>
      </c>
      <c r="CB39" s="30">
        <v>0</v>
      </c>
      <c r="CC39" s="30">
        <v>0</v>
      </c>
      <c r="CD39" s="30">
        <v>0</v>
      </c>
      <c r="CE39" s="30">
        <v>0</v>
      </c>
      <c r="CF39" s="30">
        <v>0</v>
      </c>
      <c r="CG39" s="30">
        <v>0</v>
      </c>
      <c r="CH39" s="30">
        <v>0</v>
      </c>
      <c r="CI39" s="30">
        <v>0</v>
      </c>
      <c r="CJ39" s="30">
        <v>0</v>
      </c>
      <c r="CK39" s="30">
        <v>0</v>
      </c>
      <c r="CL39" s="30">
        <v>0</v>
      </c>
      <c r="CM39" s="30">
        <v>0</v>
      </c>
      <c r="CN39" s="30">
        <v>0</v>
      </c>
      <c r="CO39" s="30">
        <v>0</v>
      </c>
      <c r="CP39" s="30">
        <v>0</v>
      </c>
      <c r="CQ39" s="30">
        <v>0</v>
      </c>
      <c r="CR39" s="30">
        <v>0</v>
      </c>
      <c r="CS39" s="30">
        <v>0</v>
      </c>
      <c r="CT39" s="30">
        <v>0</v>
      </c>
      <c r="CU39" s="30">
        <v>0</v>
      </c>
      <c r="CV39" s="27">
        <f t="shared" si="5"/>
        <v>0</v>
      </c>
      <c r="CW39" s="186" t="str">
        <f t="shared" si="6"/>
        <v>Kyocera</v>
      </c>
      <c r="CX39" s="186" t="str">
        <f>IF(Data!D39="E","Entry",IF(Data!D39="L","Low",IF(Data!D39="M","Medium","High")))</f>
        <v>Medium</v>
      </c>
      <c r="CY39" s="187" t="str">
        <f t="shared" si="7"/>
        <v>MFD-Colour_Ky_M_4N</v>
      </c>
    </row>
    <row r="40" spans="1:103" ht="15.95" customHeight="1" x14ac:dyDescent="0.2">
      <c r="A40" s="26" t="s">
        <v>465</v>
      </c>
      <c r="B40" s="26" t="s">
        <v>402</v>
      </c>
      <c r="C40" s="27" t="s">
        <v>7</v>
      </c>
      <c r="D40" s="184" t="s">
        <v>432</v>
      </c>
      <c r="E40" s="184">
        <v>1</v>
      </c>
      <c r="F40" s="184" t="s">
        <v>157</v>
      </c>
      <c r="G40" s="200" t="s">
        <v>2040</v>
      </c>
      <c r="H40" s="200" t="s">
        <v>2041</v>
      </c>
      <c r="I40" s="200">
        <v>60</v>
      </c>
      <c r="J40" s="201">
        <v>2500000</v>
      </c>
      <c r="K40" s="201">
        <v>41600</v>
      </c>
      <c r="L40" s="208">
        <v>7351.3</v>
      </c>
      <c r="M40" s="236">
        <v>5.4999999999999997E-3</v>
      </c>
      <c r="N40" s="236">
        <v>5.5E-2</v>
      </c>
      <c r="O40" s="236">
        <v>1.0999999999999999E-2</v>
      </c>
      <c r="P40" s="236">
        <v>0.11</v>
      </c>
      <c r="Q40" s="236">
        <v>1.9689999999999999E-2</v>
      </c>
      <c r="R40" s="236">
        <v>0.15686</v>
      </c>
      <c r="S40" s="236">
        <v>9.9000000000000008E-3</v>
      </c>
      <c r="T40" s="236">
        <v>9.9000000000000005E-2</v>
      </c>
      <c r="U40" s="236">
        <v>1.0999999999999999E-2</v>
      </c>
      <c r="V40" s="236">
        <v>0.11</v>
      </c>
      <c r="W40" s="236">
        <v>9.9000000000000008E-3</v>
      </c>
      <c r="X40" s="236">
        <v>9.9000000000000005E-2</v>
      </c>
      <c r="Y40" s="236">
        <v>1.0999999999999999E-2</v>
      </c>
      <c r="Z40" s="236">
        <v>0.11</v>
      </c>
      <c r="AA40" s="236">
        <v>1.54E-2</v>
      </c>
      <c r="AB40" s="236">
        <v>0.11</v>
      </c>
      <c r="AC40" s="236">
        <v>1.0999999999999999E-2</v>
      </c>
      <c r="AD40" s="236">
        <v>0.11</v>
      </c>
      <c r="AE40" s="236">
        <v>1.9689999999999999E-2</v>
      </c>
      <c r="AF40" s="236">
        <v>0.15686</v>
      </c>
      <c r="AG40" s="236">
        <v>1.43E-2</v>
      </c>
      <c r="AH40" s="236">
        <v>0.14299999999999999</v>
      </c>
      <c r="AI40" s="236">
        <v>1.0999999999999999E-2</v>
      </c>
      <c r="AJ40" s="236">
        <v>0.11</v>
      </c>
      <c r="AK40" s="236">
        <v>1.43E-2</v>
      </c>
      <c r="AL40" s="236">
        <v>0.14299999999999999</v>
      </c>
      <c r="AM40" s="207" t="s">
        <v>2037</v>
      </c>
      <c r="AN40" s="207" t="s">
        <v>2038</v>
      </c>
      <c r="AO40" s="208">
        <v>123.42</v>
      </c>
      <c r="AP40" s="208">
        <v>153.71</v>
      </c>
      <c r="AQ40" s="208" t="s">
        <v>237</v>
      </c>
      <c r="AR40" s="208">
        <v>0</v>
      </c>
      <c r="AS40" s="208" t="s">
        <v>2042</v>
      </c>
      <c r="AT40" s="200">
        <v>1345.47</v>
      </c>
      <c r="AU40" s="208" t="s">
        <v>243</v>
      </c>
      <c r="AV40" s="207" t="s">
        <v>244</v>
      </c>
      <c r="AW40" s="207">
        <v>137.5</v>
      </c>
      <c r="AX40" s="208">
        <v>0</v>
      </c>
      <c r="AY40" s="237" t="s">
        <v>941</v>
      </c>
      <c r="AZ40" s="208">
        <v>1100</v>
      </c>
      <c r="BA40" s="208">
        <v>2376</v>
      </c>
      <c r="BB40" s="208">
        <v>1100</v>
      </c>
      <c r="BC40" s="208">
        <v>1540</v>
      </c>
      <c r="BD40" s="208">
        <v>1100</v>
      </c>
      <c r="BE40" s="208">
        <v>1100</v>
      </c>
      <c r="BF40" s="208">
        <v>2200</v>
      </c>
      <c r="BG40" s="208">
        <v>1100</v>
      </c>
      <c r="BH40" s="208">
        <v>2376</v>
      </c>
      <c r="BI40" s="208">
        <v>660</v>
      </c>
      <c r="BJ40" s="208">
        <v>1540</v>
      </c>
      <c r="BK40" s="208">
        <v>660</v>
      </c>
      <c r="BL40" s="208" t="s">
        <v>246</v>
      </c>
      <c r="BM40" s="207">
        <v>3.8</v>
      </c>
      <c r="BN40" s="207">
        <v>14.4</v>
      </c>
      <c r="BO40" s="207">
        <v>50000</v>
      </c>
      <c r="BP40" s="207">
        <v>3600000</v>
      </c>
      <c r="BQ40" s="207">
        <v>69</v>
      </c>
      <c r="BR40" s="207" t="s">
        <v>248</v>
      </c>
      <c r="BS40" s="207" t="s">
        <v>113</v>
      </c>
      <c r="BT40" s="207" t="s">
        <v>2</v>
      </c>
      <c r="BU40" s="207" t="s">
        <v>246</v>
      </c>
      <c r="BV40" s="207" t="s">
        <v>249</v>
      </c>
      <c r="BW40" s="207">
        <v>1150</v>
      </c>
      <c r="BX40" s="207">
        <v>7150</v>
      </c>
      <c r="BY40" s="207">
        <v>100</v>
      </c>
      <c r="BZ40" s="207">
        <v>140</v>
      </c>
      <c r="CA40" s="207" t="s">
        <v>2</v>
      </c>
      <c r="CB40" s="207" t="s">
        <v>2</v>
      </c>
      <c r="CC40" s="207" t="s">
        <v>2</v>
      </c>
      <c r="CD40" s="207" t="s">
        <v>3</v>
      </c>
      <c r="CE40" s="207" t="s">
        <v>2</v>
      </c>
      <c r="CF40" s="207">
        <v>960</v>
      </c>
      <c r="CG40" s="207">
        <v>12</v>
      </c>
      <c r="CH40" s="207" t="s">
        <v>135</v>
      </c>
      <c r="CI40" s="207" t="s">
        <v>2</v>
      </c>
      <c r="CJ40" s="207" t="s">
        <v>2</v>
      </c>
      <c r="CK40" s="207">
        <v>2000</v>
      </c>
      <c r="CL40" s="207" t="s">
        <v>2</v>
      </c>
      <c r="CM40" s="207" t="s">
        <v>2</v>
      </c>
      <c r="CN40" s="207" t="s">
        <v>113</v>
      </c>
      <c r="CO40" s="207" t="s">
        <v>255</v>
      </c>
      <c r="CP40" s="207" t="s">
        <v>256</v>
      </c>
      <c r="CQ40" s="207" t="s">
        <v>257</v>
      </c>
      <c r="CR40" s="207" t="s">
        <v>258</v>
      </c>
      <c r="CS40" s="207" t="s">
        <v>3</v>
      </c>
      <c r="CT40" s="207">
        <v>0</v>
      </c>
      <c r="CU40" s="30">
        <v>0</v>
      </c>
      <c r="CV40" s="27" t="str">
        <f t="shared" si="5"/>
        <v>822UG06054</v>
      </c>
      <c r="CW40" s="186" t="str">
        <f t="shared" si="6"/>
        <v>Kyocera</v>
      </c>
      <c r="CX40" s="186" t="str">
        <f>IF(Data!D40="E","Entry",IF(Data!D40="L","Low",IF(Data!D40="M","Medium","High")))</f>
        <v>High</v>
      </c>
      <c r="CY40" s="187" t="str">
        <f t="shared" si="7"/>
        <v>MFD-Colour_Ky_H_1Y</v>
      </c>
    </row>
    <row r="41" spans="1:103" ht="15.95" customHeight="1" x14ac:dyDescent="0.2">
      <c r="A41" s="26" t="s">
        <v>466</v>
      </c>
      <c r="B41" s="26" t="s">
        <v>402</v>
      </c>
      <c r="C41" s="27" t="s">
        <v>7</v>
      </c>
      <c r="D41" s="184" t="s">
        <v>432</v>
      </c>
      <c r="E41" s="184">
        <v>2</v>
      </c>
      <c r="F41" s="184" t="s">
        <v>157</v>
      </c>
      <c r="G41" s="200" t="s">
        <v>1823</v>
      </c>
      <c r="H41" s="200" t="s">
        <v>1824</v>
      </c>
      <c r="I41" s="200">
        <v>65</v>
      </c>
      <c r="J41" s="201">
        <v>5000000</v>
      </c>
      <c r="K41" s="201">
        <v>83300</v>
      </c>
      <c r="L41" s="208">
        <v>12167.65</v>
      </c>
      <c r="M41" s="236">
        <v>5.4999999999999997E-3</v>
      </c>
      <c r="N41" s="236">
        <v>5.5E-2</v>
      </c>
      <c r="O41" s="236">
        <v>1.0999999999999999E-2</v>
      </c>
      <c r="P41" s="236">
        <v>0.11</v>
      </c>
      <c r="Q41" s="236">
        <v>1.8370000000000001E-2</v>
      </c>
      <c r="R41" s="236">
        <v>0.14377000000000001</v>
      </c>
      <c r="S41" s="236">
        <v>9.9000000000000008E-3</v>
      </c>
      <c r="T41" s="236">
        <v>9.9000000000000005E-2</v>
      </c>
      <c r="U41" s="236">
        <v>1.0999999999999999E-2</v>
      </c>
      <c r="V41" s="236">
        <v>0.11</v>
      </c>
      <c r="W41" s="236">
        <v>9.9000000000000008E-3</v>
      </c>
      <c r="X41" s="236">
        <v>9.9000000000000005E-2</v>
      </c>
      <c r="Y41" s="236">
        <v>1.0999999999999999E-2</v>
      </c>
      <c r="Z41" s="236">
        <v>0.11</v>
      </c>
      <c r="AA41" s="236">
        <v>1.54E-2</v>
      </c>
      <c r="AB41" s="236">
        <v>0.11</v>
      </c>
      <c r="AC41" s="236">
        <v>1.0999999999999999E-2</v>
      </c>
      <c r="AD41" s="236">
        <v>0.11</v>
      </c>
      <c r="AE41" s="236">
        <v>1.8370000000000001E-2</v>
      </c>
      <c r="AF41" s="236">
        <v>0.14377000000000001</v>
      </c>
      <c r="AG41" s="236">
        <v>1.43E-2</v>
      </c>
      <c r="AH41" s="236">
        <v>0.14299999999999999</v>
      </c>
      <c r="AI41" s="236">
        <v>1.0999999999999999E-2</v>
      </c>
      <c r="AJ41" s="236">
        <v>0.11</v>
      </c>
      <c r="AK41" s="236">
        <v>1.43E-2</v>
      </c>
      <c r="AL41" s="236">
        <v>0.14299999999999999</v>
      </c>
      <c r="AM41" s="30" t="s">
        <v>232</v>
      </c>
      <c r="AN41" s="30" t="s">
        <v>236</v>
      </c>
      <c r="AO41" s="32">
        <v>226.27</v>
      </c>
      <c r="AP41" s="32">
        <v>228.14</v>
      </c>
      <c r="AQ41" s="32" t="s">
        <v>237</v>
      </c>
      <c r="AR41" s="32">
        <v>0</v>
      </c>
      <c r="AS41" s="32" t="s">
        <v>241</v>
      </c>
      <c r="AT41" s="27">
        <v>1355.75</v>
      </c>
      <c r="AU41" s="32" t="s">
        <v>243</v>
      </c>
      <c r="AV41" s="30" t="s">
        <v>244</v>
      </c>
      <c r="AW41" s="30">
        <v>137.5</v>
      </c>
      <c r="AX41" s="32">
        <v>0</v>
      </c>
      <c r="AY41" s="29" t="s">
        <v>941</v>
      </c>
      <c r="AZ41" s="32">
        <v>1100</v>
      </c>
      <c r="BA41" s="32">
        <v>2772</v>
      </c>
      <c r="BB41" s="32">
        <v>1210</v>
      </c>
      <c r="BC41" s="32">
        <v>1540</v>
      </c>
      <c r="BD41" s="32">
        <v>1210</v>
      </c>
      <c r="BE41" s="32">
        <v>1100</v>
      </c>
      <c r="BF41" s="32">
        <v>2520</v>
      </c>
      <c r="BG41" s="32">
        <v>1100</v>
      </c>
      <c r="BH41" s="32">
        <v>2772</v>
      </c>
      <c r="BI41" s="32">
        <v>770</v>
      </c>
      <c r="BJ41" s="32">
        <v>1540</v>
      </c>
      <c r="BK41" s="32">
        <v>770</v>
      </c>
      <c r="BL41" s="32" t="s">
        <v>246</v>
      </c>
      <c r="BM41" s="207">
        <v>5.3</v>
      </c>
      <c r="BN41" s="30">
        <v>44</v>
      </c>
      <c r="BO41" s="30">
        <v>60000</v>
      </c>
      <c r="BP41" s="30">
        <v>4800000</v>
      </c>
      <c r="BQ41" s="30">
        <v>75</v>
      </c>
      <c r="BR41" s="30" t="s">
        <v>248</v>
      </c>
      <c r="BS41" s="30" t="s">
        <v>113</v>
      </c>
      <c r="BT41" s="30" t="s">
        <v>2</v>
      </c>
      <c r="BU41" s="30" t="s">
        <v>246</v>
      </c>
      <c r="BV41" s="30" t="s">
        <v>249</v>
      </c>
      <c r="BW41" s="30">
        <v>4150</v>
      </c>
      <c r="BX41" s="30">
        <v>7650</v>
      </c>
      <c r="BY41" s="30">
        <v>150</v>
      </c>
      <c r="BZ41" s="30">
        <v>270</v>
      </c>
      <c r="CA41" s="30" t="s">
        <v>2</v>
      </c>
      <c r="CB41" s="30" t="s">
        <v>2</v>
      </c>
      <c r="CC41" s="30" t="s">
        <v>2</v>
      </c>
      <c r="CD41" s="30" t="s">
        <v>3</v>
      </c>
      <c r="CE41" s="30" t="s">
        <v>3</v>
      </c>
      <c r="CF41" s="30">
        <v>1360</v>
      </c>
      <c r="CG41" s="30">
        <v>12</v>
      </c>
      <c r="CH41" s="30" t="s">
        <v>254</v>
      </c>
      <c r="CI41" s="30" t="s">
        <v>2</v>
      </c>
      <c r="CJ41" s="30" t="s">
        <v>2</v>
      </c>
      <c r="CK41" s="30">
        <v>2000</v>
      </c>
      <c r="CL41" s="30" t="s">
        <v>2</v>
      </c>
      <c r="CM41" s="30" t="s">
        <v>2</v>
      </c>
      <c r="CN41" s="30" t="s">
        <v>113</v>
      </c>
      <c r="CO41" s="30" t="s">
        <v>255</v>
      </c>
      <c r="CP41" s="30" t="s">
        <v>256</v>
      </c>
      <c r="CQ41" s="30" t="s">
        <v>257</v>
      </c>
      <c r="CR41" s="30" t="s">
        <v>258</v>
      </c>
      <c r="CS41" s="30" t="s">
        <v>3</v>
      </c>
      <c r="CT41" s="30">
        <v>0</v>
      </c>
      <c r="CU41" s="30">
        <v>0</v>
      </c>
      <c r="CV41" s="27" t="str">
        <f t="shared" si="5"/>
        <v>1102XP3AU0</v>
      </c>
      <c r="CW41" s="186" t="str">
        <f t="shared" si="6"/>
        <v>Kyocera</v>
      </c>
      <c r="CX41" s="186" t="str">
        <f>IF(Data!D41="E","Entry",IF(Data!D41="L","Low",IF(Data!D41="M","Medium","High")))</f>
        <v>High</v>
      </c>
      <c r="CY41" s="187" t="str">
        <f t="shared" si="7"/>
        <v>MFD-Colour_Ky_H_2Y</v>
      </c>
    </row>
    <row r="42" spans="1:103" ht="15.95" customHeight="1" x14ac:dyDescent="0.2">
      <c r="A42" s="26" t="s">
        <v>467</v>
      </c>
      <c r="B42" s="26" t="s">
        <v>402</v>
      </c>
      <c r="C42" s="27" t="s">
        <v>7</v>
      </c>
      <c r="D42" s="184" t="s">
        <v>432</v>
      </c>
      <c r="E42" s="184">
        <v>3</v>
      </c>
      <c r="F42" s="184" t="s">
        <v>157</v>
      </c>
      <c r="G42" s="200" t="s">
        <v>1825</v>
      </c>
      <c r="H42" s="200" t="s">
        <v>1826</v>
      </c>
      <c r="I42" s="200">
        <v>70</v>
      </c>
      <c r="J42" s="201">
        <v>5000000</v>
      </c>
      <c r="K42" s="201">
        <v>100000</v>
      </c>
      <c r="L42" s="208">
        <v>13896.85</v>
      </c>
      <c r="M42" s="236">
        <v>5.4999999999999997E-3</v>
      </c>
      <c r="N42" s="236">
        <v>5.5E-2</v>
      </c>
      <c r="O42" s="236">
        <v>1.0999999999999999E-2</v>
      </c>
      <c r="P42" s="236">
        <v>0.11</v>
      </c>
      <c r="Q42" s="236">
        <v>1.8370000000000001E-2</v>
      </c>
      <c r="R42" s="236">
        <v>0.14377000000000001</v>
      </c>
      <c r="S42" s="236">
        <v>9.9000000000000008E-3</v>
      </c>
      <c r="T42" s="236">
        <v>9.9000000000000005E-2</v>
      </c>
      <c r="U42" s="236">
        <v>1.0999999999999999E-2</v>
      </c>
      <c r="V42" s="236">
        <v>0.11</v>
      </c>
      <c r="W42" s="236">
        <v>9.9000000000000008E-3</v>
      </c>
      <c r="X42" s="236">
        <v>9.9000000000000005E-2</v>
      </c>
      <c r="Y42" s="236">
        <v>1.0999999999999999E-2</v>
      </c>
      <c r="Z42" s="236">
        <v>0.11</v>
      </c>
      <c r="AA42" s="236">
        <v>1.54E-2</v>
      </c>
      <c r="AB42" s="236">
        <v>0.11</v>
      </c>
      <c r="AC42" s="236">
        <v>1.0999999999999999E-2</v>
      </c>
      <c r="AD42" s="236">
        <v>0.11</v>
      </c>
      <c r="AE42" s="236">
        <v>1.8370000000000001E-2</v>
      </c>
      <c r="AF42" s="236">
        <v>0.14377000000000001</v>
      </c>
      <c r="AG42" s="236">
        <v>1.43E-2</v>
      </c>
      <c r="AH42" s="236">
        <v>0.14299999999999999</v>
      </c>
      <c r="AI42" s="236">
        <v>1.0999999999999999E-2</v>
      </c>
      <c r="AJ42" s="236">
        <v>0.11</v>
      </c>
      <c r="AK42" s="236">
        <v>1.43E-2</v>
      </c>
      <c r="AL42" s="236">
        <v>0.14299999999999999</v>
      </c>
      <c r="AM42" s="30" t="s">
        <v>232</v>
      </c>
      <c r="AN42" s="30" t="s">
        <v>236</v>
      </c>
      <c r="AO42" s="32">
        <v>226.27</v>
      </c>
      <c r="AP42" s="32">
        <v>228.14</v>
      </c>
      <c r="AQ42" s="32" t="s">
        <v>237</v>
      </c>
      <c r="AR42" s="32">
        <v>0</v>
      </c>
      <c r="AS42" s="32" t="s">
        <v>241</v>
      </c>
      <c r="AT42" s="27">
        <v>1355.75</v>
      </c>
      <c r="AU42" s="32" t="s">
        <v>243</v>
      </c>
      <c r="AV42" s="30" t="s">
        <v>244</v>
      </c>
      <c r="AW42" s="30">
        <v>137.5</v>
      </c>
      <c r="AX42" s="32">
        <v>0</v>
      </c>
      <c r="AY42" s="29" t="s">
        <v>941</v>
      </c>
      <c r="AZ42" s="32">
        <v>1100</v>
      </c>
      <c r="BA42" s="32">
        <v>2772</v>
      </c>
      <c r="BB42" s="32">
        <v>1210</v>
      </c>
      <c r="BC42" s="32">
        <v>1540</v>
      </c>
      <c r="BD42" s="32">
        <v>1210</v>
      </c>
      <c r="BE42" s="32">
        <v>1100</v>
      </c>
      <c r="BF42" s="32">
        <v>2520</v>
      </c>
      <c r="BG42" s="32">
        <v>1100</v>
      </c>
      <c r="BH42" s="32">
        <v>2772</v>
      </c>
      <c r="BI42" s="32">
        <v>770</v>
      </c>
      <c r="BJ42" s="32">
        <v>1540</v>
      </c>
      <c r="BK42" s="32">
        <v>770</v>
      </c>
      <c r="BL42" s="32" t="s">
        <v>246</v>
      </c>
      <c r="BM42" s="207">
        <v>4.9000000000000004</v>
      </c>
      <c r="BN42" s="30">
        <v>44</v>
      </c>
      <c r="BO42" s="30">
        <v>70000</v>
      </c>
      <c r="BP42" s="30">
        <v>5000000</v>
      </c>
      <c r="BQ42" s="30">
        <v>75</v>
      </c>
      <c r="BR42" s="30" t="s">
        <v>248</v>
      </c>
      <c r="BS42" s="30" t="s">
        <v>113</v>
      </c>
      <c r="BT42" s="30" t="s">
        <v>2</v>
      </c>
      <c r="BU42" s="30" t="s">
        <v>246</v>
      </c>
      <c r="BV42" s="30" t="s">
        <v>249</v>
      </c>
      <c r="BW42" s="30">
        <v>4150</v>
      </c>
      <c r="BX42" s="30">
        <v>7650</v>
      </c>
      <c r="BY42" s="30">
        <v>150</v>
      </c>
      <c r="BZ42" s="30">
        <v>270</v>
      </c>
      <c r="CA42" s="30" t="s">
        <v>2</v>
      </c>
      <c r="CB42" s="30" t="s">
        <v>2</v>
      </c>
      <c r="CC42" s="30" t="s">
        <v>2</v>
      </c>
      <c r="CD42" s="30" t="s">
        <v>3</v>
      </c>
      <c r="CE42" s="30" t="s">
        <v>3</v>
      </c>
      <c r="CF42" s="30">
        <v>1360</v>
      </c>
      <c r="CG42" s="30">
        <v>12</v>
      </c>
      <c r="CH42" s="30" t="s">
        <v>254</v>
      </c>
      <c r="CI42" s="30" t="s">
        <v>2</v>
      </c>
      <c r="CJ42" s="30" t="s">
        <v>2</v>
      </c>
      <c r="CK42" s="30">
        <v>2000</v>
      </c>
      <c r="CL42" s="30" t="s">
        <v>2</v>
      </c>
      <c r="CM42" s="30" t="s">
        <v>2</v>
      </c>
      <c r="CN42" s="30" t="s">
        <v>113</v>
      </c>
      <c r="CO42" s="30" t="s">
        <v>255</v>
      </c>
      <c r="CP42" s="30" t="s">
        <v>256</v>
      </c>
      <c r="CQ42" s="30" t="s">
        <v>257</v>
      </c>
      <c r="CR42" s="30" t="s">
        <v>258</v>
      </c>
      <c r="CS42" s="30" t="s">
        <v>3</v>
      </c>
      <c r="CT42" s="30">
        <v>0</v>
      </c>
      <c r="CU42" s="30">
        <v>0</v>
      </c>
      <c r="CV42" s="27" t="str">
        <f t="shared" si="5"/>
        <v>1102XN3AU0</v>
      </c>
      <c r="CW42" s="186" t="str">
        <f t="shared" si="6"/>
        <v>Kyocera</v>
      </c>
      <c r="CX42" s="186" t="str">
        <f>IF(Data!D42="E","Entry",IF(Data!D42="L","Low",IF(Data!D42="M","Medium","High")))</f>
        <v>High</v>
      </c>
      <c r="CY42" s="187" t="str">
        <f t="shared" si="7"/>
        <v>MFD-Colour_Ky_H_3Y</v>
      </c>
    </row>
    <row r="43" spans="1:103" ht="15.95" customHeight="1" x14ac:dyDescent="0.2">
      <c r="A43" s="26" t="s">
        <v>468</v>
      </c>
      <c r="B43" s="26" t="s">
        <v>402</v>
      </c>
      <c r="C43" s="27" t="s">
        <v>7</v>
      </c>
      <c r="D43" s="184" t="s">
        <v>432</v>
      </c>
      <c r="E43" s="184">
        <v>4</v>
      </c>
      <c r="F43" s="184" t="s">
        <v>157</v>
      </c>
      <c r="G43" s="27" t="s">
        <v>2419</v>
      </c>
      <c r="H43" s="27" t="s">
        <v>2420</v>
      </c>
      <c r="I43" s="27">
        <v>70</v>
      </c>
      <c r="J43" s="185">
        <v>2800000</v>
      </c>
      <c r="K43" s="185">
        <v>41600</v>
      </c>
      <c r="L43" s="32">
        <v>11286</v>
      </c>
      <c r="M43" s="28">
        <v>5.4999999999999997E-3</v>
      </c>
      <c r="N43" s="28">
        <v>5.5E-2</v>
      </c>
      <c r="O43" s="28">
        <v>1.0999999999999999E-2</v>
      </c>
      <c r="P43" s="28">
        <v>0.11</v>
      </c>
      <c r="Q43" s="28">
        <v>1.9689999999999999E-2</v>
      </c>
      <c r="R43" s="28">
        <v>0.15686</v>
      </c>
      <c r="S43" s="28">
        <v>9.9000000000000008E-3</v>
      </c>
      <c r="T43" s="28">
        <v>9.9000000000000005E-2</v>
      </c>
      <c r="U43" s="28">
        <v>1.0999999999999999E-2</v>
      </c>
      <c r="V43" s="28">
        <v>0.11</v>
      </c>
      <c r="W43" s="28">
        <v>9.9000000000000008E-3</v>
      </c>
      <c r="X43" s="28">
        <v>9.9000000000000005E-2</v>
      </c>
      <c r="Y43" s="28">
        <v>1.0999999999999999E-2</v>
      </c>
      <c r="Z43" s="28">
        <v>0.11</v>
      </c>
      <c r="AA43" s="28">
        <v>1.54E-2</v>
      </c>
      <c r="AB43" s="28">
        <v>0.11</v>
      </c>
      <c r="AC43" s="28">
        <v>1.0999999999999999E-2</v>
      </c>
      <c r="AD43" s="28">
        <v>0.11</v>
      </c>
      <c r="AE43" s="28">
        <v>1.9689999999999999E-2</v>
      </c>
      <c r="AF43" s="28">
        <v>0.15686</v>
      </c>
      <c r="AG43" s="28">
        <v>1.43E-2</v>
      </c>
      <c r="AH43" s="28">
        <v>0.14299999999999999</v>
      </c>
      <c r="AI43" s="28">
        <v>1.0999999999999999E-2</v>
      </c>
      <c r="AJ43" s="28">
        <v>0.11</v>
      </c>
      <c r="AK43" s="28">
        <v>1.43E-2</v>
      </c>
      <c r="AL43" s="28">
        <v>0.14299999999999999</v>
      </c>
      <c r="AM43" s="30" t="s">
        <v>2037</v>
      </c>
      <c r="AN43" s="30" t="s">
        <v>2038</v>
      </c>
      <c r="AO43" s="32">
        <v>123.42</v>
      </c>
      <c r="AP43" s="32">
        <v>153.71</v>
      </c>
      <c r="AQ43" s="32">
        <v>0</v>
      </c>
      <c r="AR43" s="32">
        <v>0</v>
      </c>
      <c r="AS43" s="32" t="s">
        <v>2042</v>
      </c>
      <c r="AT43" s="27">
        <v>1345.47</v>
      </c>
      <c r="AU43" s="32">
        <v>0</v>
      </c>
      <c r="AV43" s="30">
        <v>0</v>
      </c>
      <c r="AW43" s="30">
        <v>0</v>
      </c>
      <c r="AX43" s="32">
        <v>0</v>
      </c>
      <c r="AY43" s="27">
        <v>0</v>
      </c>
      <c r="AZ43" s="32">
        <v>0</v>
      </c>
      <c r="BA43" s="32">
        <v>0</v>
      </c>
      <c r="BB43" s="32">
        <v>0</v>
      </c>
      <c r="BC43" s="32">
        <v>0</v>
      </c>
      <c r="BD43" s="32">
        <v>0</v>
      </c>
      <c r="BE43" s="32">
        <v>0</v>
      </c>
      <c r="BF43" s="32">
        <v>0</v>
      </c>
      <c r="BG43" s="32">
        <v>0</v>
      </c>
      <c r="BH43" s="32">
        <v>0</v>
      </c>
      <c r="BI43" s="32">
        <v>0</v>
      </c>
      <c r="BJ43" s="32">
        <v>0</v>
      </c>
      <c r="BK43" s="32">
        <v>0</v>
      </c>
      <c r="BL43" s="32">
        <v>0</v>
      </c>
      <c r="BM43" s="30">
        <v>3.7</v>
      </c>
      <c r="BN43" s="30">
        <v>17</v>
      </c>
      <c r="BO43" s="30">
        <v>60000</v>
      </c>
      <c r="BP43" s="30">
        <v>3600000</v>
      </c>
      <c r="BQ43" s="30">
        <v>69</v>
      </c>
      <c r="BR43" s="30">
        <v>0</v>
      </c>
      <c r="BS43" s="30">
        <v>0</v>
      </c>
      <c r="BT43" s="30">
        <v>0</v>
      </c>
      <c r="BU43" s="30">
        <v>0</v>
      </c>
      <c r="BV43" s="30">
        <v>0</v>
      </c>
      <c r="BW43" s="30">
        <v>0</v>
      </c>
      <c r="BX43" s="30">
        <v>0</v>
      </c>
      <c r="BY43" s="30">
        <v>0</v>
      </c>
      <c r="BZ43" s="30">
        <v>0</v>
      </c>
      <c r="CA43" s="30">
        <v>0</v>
      </c>
      <c r="CB43" s="30">
        <v>0</v>
      </c>
      <c r="CC43" s="30">
        <v>0</v>
      </c>
      <c r="CD43" s="30">
        <v>0</v>
      </c>
      <c r="CE43" s="30">
        <v>0</v>
      </c>
      <c r="CF43" s="30">
        <v>1360</v>
      </c>
      <c r="CG43" s="30">
        <v>12</v>
      </c>
      <c r="CH43" s="30" t="s">
        <v>135</v>
      </c>
      <c r="CI43" s="30" t="s">
        <v>2</v>
      </c>
      <c r="CJ43" s="30" t="s">
        <v>2</v>
      </c>
      <c r="CK43" s="30">
        <v>2000</v>
      </c>
      <c r="CL43" s="30" t="s">
        <v>2</v>
      </c>
      <c r="CM43" s="30" t="s">
        <v>2</v>
      </c>
      <c r="CN43" s="30" t="s">
        <v>113</v>
      </c>
      <c r="CO43" s="30" t="s">
        <v>255</v>
      </c>
      <c r="CP43" s="30" t="s">
        <v>256</v>
      </c>
      <c r="CQ43" s="30" t="s">
        <v>257</v>
      </c>
      <c r="CR43" s="30" t="s">
        <v>258</v>
      </c>
      <c r="CS43" s="30" t="s">
        <v>3</v>
      </c>
      <c r="CT43" s="30">
        <v>0</v>
      </c>
      <c r="CU43" s="30">
        <v>0</v>
      </c>
      <c r="CV43" s="27" t="str">
        <f t="shared" ref="CV43" si="8">G43</f>
        <v>1102XC3AU</v>
      </c>
      <c r="CW43" s="186" t="str">
        <f t="shared" ref="CW43" si="9">C43</f>
        <v>Kyocera</v>
      </c>
      <c r="CX43" s="186" t="str">
        <f>IF(Data!D43="E","Entry",IF(Data!D43="L","Low",IF(Data!D43="M","Medium","High")))</f>
        <v>High</v>
      </c>
      <c r="CY43" s="187" t="str">
        <f t="shared" ref="CY43" si="10">A43&amp;IF(H43="Not Offered","N","Y")</f>
        <v>MFD-Colour_Ky_H_4Y</v>
      </c>
    </row>
    <row r="44" spans="1:103" ht="15.95" customHeight="1" x14ac:dyDescent="0.2">
      <c r="A44" s="25" t="s">
        <v>469</v>
      </c>
      <c r="B44" s="25" t="s">
        <v>402</v>
      </c>
      <c r="C44" s="200" t="s">
        <v>8</v>
      </c>
      <c r="D44" s="203" t="s">
        <v>403</v>
      </c>
      <c r="E44" s="203">
        <v>1</v>
      </c>
      <c r="F44" s="203" t="s">
        <v>154</v>
      </c>
      <c r="G44" s="200">
        <v>418282</v>
      </c>
      <c r="H44" s="200" t="s">
        <v>2147</v>
      </c>
      <c r="I44" s="200">
        <v>20</v>
      </c>
      <c r="J44" s="201">
        <v>600000</v>
      </c>
      <c r="K44" s="201">
        <v>10000</v>
      </c>
      <c r="L44" s="208">
        <v>2764.4760000000001</v>
      </c>
      <c r="M44" s="236">
        <v>5.5000000000000005E-3</v>
      </c>
      <c r="N44" s="236">
        <v>5.5000000000000007E-2</v>
      </c>
      <c r="O44" s="236" t="s">
        <v>0</v>
      </c>
      <c r="P44" s="236" t="s">
        <v>0</v>
      </c>
      <c r="Q44" s="236" t="s">
        <v>0</v>
      </c>
      <c r="R44" s="236" t="s">
        <v>0</v>
      </c>
      <c r="S44" s="236">
        <v>1.3200000000000002E-2</v>
      </c>
      <c r="T44" s="236">
        <v>0.13200000000000001</v>
      </c>
      <c r="U44" s="236">
        <v>1.7600000000000001E-2</v>
      </c>
      <c r="V44" s="236">
        <v>0.15400000000000003</v>
      </c>
      <c r="W44" s="236">
        <v>1.6400000000000001E-2</v>
      </c>
      <c r="X44" s="236">
        <v>8.294E-2</v>
      </c>
      <c r="Y44" s="236">
        <v>1.5400000000000002E-2</v>
      </c>
      <c r="Z44" s="236">
        <v>9.6360000000000001E-2</v>
      </c>
      <c r="AA44" s="236">
        <v>1.9800000000000002E-2</v>
      </c>
      <c r="AB44" s="236">
        <v>0.15400000000000003</v>
      </c>
      <c r="AC44" s="236">
        <v>1.1000000000000001E-2</v>
      </c>
      <c r="AD44" s="236">
        <v>0.11000000000000001</v>
      </c>
      <c r="AE44" s="236">
        <v>1.9800000000000002E-2</v>
      </c>
      <c r="AF44" s="236">
        <v>0.13200000000000001</v>
      </c>
      <c r="AG44" s="236">
        <v>2.0900000000000002E-2</v>
      </c>
      <c r="AH44" s="236">
        <v>0.13200000000000001</v>
      </c>
      <c r="AI44" s="236">
        <v>1.7600000000000001E-2</v>
      </c>
      <c r="AJ44" s="236">
        <v>0.15400000000000003</v>
      </c>
      <c r="AK44" s="236">
        <v>2.0900000000000002E-2</v>
      </c>
      <c r="AL44" s="236">
        <v>0.13200000000000001</v>
      </c>
      <c r="AM44" s="207" t="s">
        <v>259</v>
      </c>
      <c r="AN44" s="207" t="s">
        <v>259</v>
      </c>
      <c r="AO44" s="208" t="s">
        <v>259</v>
      </c>
      <c r="AP44" s="208" t="s">
        <v>259</v>
      </c>
      <c r="AQ44" s="208" t="s">
        <v>259</v>
      </c>
      <c r="AR44" s="208" t="s">
        <v>259</v>
      </c>
      <c r="AS44" s="208" t="s">
        <v>259</v>
      </c>
      <c r="AT44" s="208" t="s">
        <v>259</v>
      </c>
      <c r="AU44" s="207">
        <v>410802</v>
      </c>
      <c r="AV44" s="239" t="s">
        <v>260</v>
      </c>
      <c r="AW44" s="208">
        <v>75.900000000000006</v>
      </c>
      <c r="AX44" s="208" t="s">
        <v>1760</v>
      </c>
      <c r="AY44" s="208" t="s">
        <v>0</v>
      </c>
      <c r="AZ44" s="208">
        <v>0</v>
      </c>
      <c r="BA44" s="208">
        <v>0</v>
      </c>
      <c r="BB44" s="208">
        <v>1025.97</v>
      </c>
      <c r="BC44" s="208">
        <v>1025.97</v>
      </c>
      <c r="BD44" s="208">
        <v>1025.97</v>
      </c>
      <c r="BE44" s="208">
        <v>875.2700000000001</v>
      </c>
      <c r="BF44" s="208">
        <v>1575.9700000000003</v>
      </c>
      <c r="BG44" s="208">
        <v>1025.97</v>
      </c>
      <c r="BH44" s="208">
        <v>1575.9700000000003</v>
      </c>
      <c r="BI44" s="208">
        <v>970.97000000000014</v>
      </c>
      <c r="BJ44" s="208">
        <v>1025.97</v>
      </c>
      <c r="BK44" s="208">
        <v>970.97000000000014</v>
      </c>
      <c r="BL44" s="207" t="s">
        <v>262</v>
      </c>
      <c r="BM44" s="207" t="s">
        <v>264</v>
      </c>
      <c r="BN44" s="207" t="s">
        <v>271</v>
      </c>
      <c r="BO44" s="239">
        <v>10000</v>
      </c>
      <c r="BP44" s="239">
        <v>600000</v>
      </c>
      <c r="BQ44" s="207" t="s">
        <v>275</v>
      </c>
      <c r="BR44" s="207" t="s">
        <v>281</v>
      </c>
      <c r="BS44" s="207" t="s">
        <v>284</v>
      </c>
      <c r="BT44" s="207" t="s">
        <v>2</v>
      </c>
      <c r="BU44" s="207" t="s">
        <v>262</v>
      </c>
      <c r="BV44" s="207" t="s">
        <v>286</v>
      </c>
      <c r="BW44" s="207" t="s">
        <v>289</v>
      </c>
      <c r="BX44" s="207" t="s">
        <v>292</v>
      </c>
      <c r="BY44" s="207">
        <v>100</v>
      </c>
      <c r="BZ44" s="207" t="s">
        <v>296</v>
      </c>
      <c r="CA44" s="207" t="s">
        <v>2</v>
      </c>
      <c r="CB44" s="207" t="s">
        <v>2</v>
      </c>
      <c r="CC44" s="207" t="s">
        <v>2</v>
      </c>
      <c r="CD44" s="207" t="s">
        <v>2</v>
      </c>
      <c r="CE44" s="207" t="s">
        <v>2</v>
      </c>
      <c r="CF44" s="207" t="s">
        <v>299</v>
      </c>
      <c r="CG44" s="207" t="s">
        <v>307</v>
      </c>
      <c r="CH44" s="207" t="s">
        <v>308</v>
      </c>
      <c r="CI44" s="207" t="s">
        <v>2</v>
      </c>
      <c r="CJ44" s="207" t="s">
        <v>2</v>
      </c>
      <c r="CK44" s="207" t="s">
        <v>312</v>
      </c>
      <c r="CL44" s="207" t="s">
        <v>2</v>
      </c>
      <c r="CM44" s="207" t="s">
        <v>2</v>
      </c>
      <c r="CN44" s="207" t="s">
        <v>313</v>
      </c>
      <c r="CO44" s="207" t="s">
        <v>317</v>
      </c>
      <c r="CP44" s="207" t="s">
        <v>320</v>
      </c>
      <c r="CQ44" s="207" t="s">
        <v>323</v>
      </c>
      <c r="CR44" s="207" t="s">
        <v>326</v>
      </c>
      <c r="CS44" s="207" t="s">
        <v>3</v>
      </c>
      <c r="CT44" s="207" t="s">
        <v>329</v>
      </c>
      <c r="CU44" s="25">
        <v>0</v>
      </c>
      <c r="CV44" s="200">
        <f t="shared" si="5"/>
        <v>418282</v>
      </c>
      <c r="CW44" s="199" t="str">
        <f t="shared" si="6"/>
        <v>Ricoh</v>
      </c>
      <c r="CX44" s="199" t="str">
        <f>IF(Data!D44="E","Entry",IF(Data!D44="L","Low",IF(Data!D44="M","Medium","High")))</f>
        <v>Entry</v>
      </c>
      <c r="CY44" s="206" t="str">
        <f t="shared" si="7"/>
        <v>MFD-Colour_Ri_E_1Y</v>
      </c>
    </row>
    <row r="45" spans="1:103" ht="15.95" customHeight="1" x14ac:dyDescent="0.2">
      <c r="A45" s="25" t="s">
        <v>470</v>
      </c>
      <c r="B45" s="25" t="s">
        <v>402</v>
      </c>
      <c r="C45" s="200" t="s">
        <v>8</v>
      </c>
      <c r="D45" s="203" t="s">
        <v>403</v>
      </c>
      <c r="E45" s="203">
        <v>2</v>
      </c>
      <c r="F45" s="203" t="s">
        <v>154</v>
      </c>
      <c r="G45" s="200">
        <v>418290</v>
      </c>
      <c r="H45" s="200" t="s">
        <v>2148</v>
      </c>
      <c r="I45" s="200">
        <v>25</v>
      </c>
      <c r="J45" s="201">
        <v>600000</v>
      </c>
      <c r="K45" s="201">
        <v>10000</v>
      </c>
      <c r="L45" s="208">
        <v>3251.556</v>
      </c>
      <c r="M45" s="236">
        <v>5.5000000000000005E-3</v>
      </c>
      <c r="N45" s="236">
        <v>5.5000000000000007E-2</v>
      </c>
      <c r="O45" s="236" t="s">
        <v>0</v>
      </c>
      <c r="P45" s="236" t="s">
        <v>0</v>
      </c>
      <c r="Q45" s="236" t="s">
        <v>0</v>
      </c>
      <c r="R45" s="236" t="s">
        <v>0</v>
      </c>
      <c r="S45" s="236">
        <v>1.3200000000000002E-2</v>
      </c>
      <c r="T45" s="236">
        <v>0.13200000000000001</v>
      </c>
      <c r="U45" s="236">
        <v>1.7600000000000001E-2</v>
      </c>
      <c r="V45" s="236">
        <v>0.15400000000000003</v>
      </c>
      <c r="W45" s="236">
        <v>1.6390000000000002E-2</v>
      </c>
      <c r="X45" s="236">
        <v>8.2610000000000003E-2</v>
      </c>
      <c r="Y45" s="236">
        <v>1.5400000000000002E-2</v>
      </c>
      <c r="Z45" s="236">
        <v>9.6030000000000004E-2</v>
      </c>
      <c r="AA45" s="236">
        <v>1.9800000000000002E-2</v>
      </c>
      <c r="AB45" s="236">
        <v>0.15400000000000003</v>
      </c>
      <c r="AC45" s="236">
        <v>1.1000000000000001E-2</v>
      </c>
      <c r="AD45" s="236">
        <v>0.11000000000000001</v>
      </c>
      <c r="AE45" s="236">
        <v>1.9800000000000002E-2</v>
      </c>
      <c r="AF45" s="236">
        <v>0.13200000000000001</v>
      </c>
      <c r="AG45" s="236">
        <v>2.0900000000000002E-2</v>
      </c>
      <c r="AH45" s="236">
        <v>0.13200000000000001</v>
      </c>
      <c r="AI45" s="236">
        <v>1.7600000000000001E-2</v>
      </c>
      <c r="AJ45" s="236">
        <v>0.15400000000000003</v>
      </c>
      <c r="AK45" s="236">
        <v>2.0900000000000002E-2</v>
      </c>
      <c r="AL45" s="236">
        <v>0.13200000000000001</v>
      </c>
      <c r="AM45" s="207" t="s">
        <v>259</v>
      </c>
      <c r="AN45" s="207" t="s">
        <v>259</v>
      </c>
      <c r="AO45" s="208" t="s">
        <v>259</v>
      </c>
      <c r="AP45" s="208" t="s">
        <v>259</v>
      </c>
      <c r="AQ45" s="208" t="s">
        <v>259</v>
      </c>
      <c r="AR45" s="208" t="s">
        <v>259</v>
      </c>
      <c r="AS45" s="208" t="s">
        <v>259</v>
      </c>
      <c r="AT45" s="208" t="s">
        <v>259</v>
      </c>
      <c r="AU45" s="207">
        <v>410802</v>
      </c>
      <c r="AV45" s="239" t="s">
        <v>260</v>
      </c>
      <c r="AW45" s="208">
        <v>75.900000000000006</v>
      </c>
      <c r="AX45" s="208" t="s">
        <v>1760</v>
      </c>
      <c r="AY45" s="208" t="s">
        <v>0</v>
      </c>
      <c r="AZ45" s="208">
        <v>0</v>
      </c>
      <c r="BA45" s="208">
        <v>0</v>
      </c>
      <c r="BB45" s="208">
        <v>1071.0700000000002</v>
      </c>
      <c r="BC45" s="208">
        <v>1071.0700000000002</v>
      </c>
      <c r="BD45" s="208">
        <v>1071.0700000000002</v>
      </c>
      <c r="BE45" s="208">
        <v>920.37000000000012</v>
      </c>
      <c r="BF45" s="208">
        <v>1621.0700000000002</v>
      </c>
      <c r="BG45" s="208">
        <v>1071.0700000000002</v>
      </c>
      <c r="BH45" s="208">
        <v>1621.0700000000002</v>
      </c>
      <c r="BI45" s="208">
        <v>1016.0700000000002</v>
      </c>
      <c r="BJ45" s="208">
        <v>1071.07</v>
      </c>
      <c r="BK45" s="208">
        <v>1016.0700000000002</v>
      </c>
      <c r="BL45" s="207" t="s">
        <v>262</v>
      </c>
      <c r="BM45" s="207" t="s">
        <v>264</v>
      </c>
      <c r="BN45" s="207" t="s">
        <v>271</v>
      </c>
      <c r="BO45" s="239">
        <v>10000</v>
      </c>
      <c r="BP45" s="239">
        <v>600000</v>
      </c>
      <c r="BQ45" s="207" t="s">
        <v>275</v>
      </c>
      <c r="BR45" s="207" t="s">
        <v>281</v>
      </c>
      <c r="BS45" s="207" t="s">
        <v>284</v>
      </c>
      <c r="BT45" s="207" t="s">
        <v>2</v>
      </c>
      <c r="BU45" s="207" t="s">
        <v>262</v>
      </c>
      <c r="BV45" s="207" t="s">
        <v>286</v>
      </c>
      <c r="BW45" s="207" t="s">
        <v>289</v>
      </c>
      <c r="BX45" s="207" t="s">
        <v>292</v>
      </c>
      <c r="BY45" s="207">
        <v>100</v>
      </c>
      <c r="BZ45" s="207" t="s">
        <v>296</v>
      </c>
      <c r="CA45" s="207" t="s">
        <v>2</v>
      </c>
      <c r="CB45" s="207" t="s">
        <v>2</v>
      </c>
      <c r="CC45" s="207" t="s">
        <v>2</v>
      </c>
      <c r="CD45" s="207" t="s">
        <v>2</v>
      </c>
      <c r="CE45" s="207" t="s">
        <v>2</v>
      </c>
      <c r="CF45" s="207" t="s">
        <v>299</v>
      </c>
      <c r="CG45" s="207" t="s">
        <v>307</v>
      </c>
      <c r="CH45" s="207" t="s">
        <v>308</v>
      </c>
      <c r="CI45" s="207" t="s">
        <v>2</v>
      </c>
      <c r="CJ45" s="207" t="s">
        <v>2</v>
      </c>
      <c r="CK45" s="207" t="s">
        <v>312</v>
      </c>
      <c r="CL45" s="207" t="s">
        <v>2</v>
      </c>
      <c r="CM45" s="207" t="s">
        <v>2</v>
      </c>
      <c r="CN45" s="207" t="s">
        <v>313</v>
      </c>
      <c r="CO45" s="207" t="s">
        <v>317</v>
      </c>
      <c r="CP45" s="207" t="s">
        <v>320</v>
      </c>
      <c r="CQ45" s="207" t="s">
        <v>323</v>
      </c>
      <c r="CR45" s="207" t="s">
        <v>326</v>
      </c>
      <c r="CS45" s="207" t="s">
        <v>3</v>
      </c>
      <c r="CT45" s="207" t="s">
        <v>329</v>
      </c>
      <c r="CU45" s="25">
        <v>0</v>
      </c>
      <c r="CV45" s="200">
        <f t="shared" si="5"/>
        <v>418290</v>
      </c>
      <c r="CW45" s="199" t="str">
        <f t="shared" si="6"/>
        <v>Ricoh</v>
      </c>
      <c r="CX45" s="199" t="str">
        <f>IF(Data!D45="E","Entry",IF(Data!D45="L","Low",IF(Data!D45="M","Medium","High")))</f>
        <v>Entry</v>
      </c>
      <c r="CY45" s="206" t="str">
        <f t="shared" si="7"/>
        <v>MFD-Colour_Ri_E_2Y</v>
      </c>
    </row>
    <row r="46" spans="1:103" ht="15.95" customHeight="1" x14ac:dyDescent="0.2">
      <c r="A46" s="25" t="s">
        <v>471</v>
      </c>
      <c r="B46" s="25" t="s">
        <v>402</v>
      </c>
      <c r="C46" s="200" t="s">
        <v>8</v>
      </c>
      <c r="D46" s="203" t="s">
        <v>435</v>
      </c>
      <c r="E46" s="203">
        <v>1</v>
      </c>
      <c r="F46" s="203" t="s">
        <v>155</v>
      </c>
      <c r="G46" s="200">
        <v>418298</v>
      </c>
      <c r="H46" s="200" t="s">
        <v>2149</v>
      </c>
      <c r="I46" s="200">
        <v>30</v>
      </c>
      <c r="J46" s="201">
        <v>1200000</v>
      </c>
      <c r="K46" s="201">
        <v>20000</v>
      </c>
      <c r="L46" s="208">
        <v>4292.24</v>
      </c>
      <c r="M46" s="236">
        <v>5.5000000000000005E-3</v>
      </c>
      <c r="N46" s="236">
        <v>5.5000000000000007E-2</v>
      </c>
      <c r="O46" s="236" t="s">
        <v>0</v>
      </c>
      <c r="P46" s="236" t="s">
        <v>0</v>
      </c>
      <c r="Q46" s="236" t="s">
        <v>0</v>
      </c>
      <c r="R46" s="236" t="s">
        <v>0</v>
      </c>
      <c r="S46" s="236">
        <v>1.1000000000000001E-2</v>
      </c>
      <c r="T46" s="236">
        <v>0.13200000000000001</v>
      </c>
      <c r="U46" s="236">
        <v>1.7600000000000001E-2</v>
      </c>
      <c r="V46" s="236">
        <v>0.15400000000000003</v>
      </c>
      <c r="W46" s="236">
        <v>8.5800000000000008E-3</v>
      </c>
      <c r="X46" s="236">
        <v>5.8190000000000006E-2</v>
      </c>
      <c r="Y46" s="236">
        <v>1.0780000000000001E-2</v>
      </c>
      <c r="Z46" s="236">
        <v>7.6009999999999994E-2</v>
      </c>
      <c r="AA46" s="236">
        <v>1.9800000000000002E-2</v>
      </c>
      <c r="AB46" s="236">
        <v>0.14300000000000002</v>
      </c>
      <c r="AC46" s="236">
        <v>1.1000000000000001E-2</v>
      </c>
      <c r="AD46" s="236">
        <v>0.11000000000000001</v>
      </c>
      <c r="AE46" s="236">
        <v>1.7600000000000001E-2</v>
      </c>
      <c r="AF46" s="236">
        <v>0.13200000000000001</v>
      </c>
      <c r="AG46" s="236">
        <v>2.0900000000000002E-2</v>
      </c>
      <c r="AH46" s="236">
        <v>0.13200000000000001</v>
      </c>
      <c r="AI46" s="236">
        <v>1.7600000000000001E-2</v>
      </c>
      <c r="AJ46" s="236">
        <v>0.15400000000000003</v>
      </c>
      <c r="AK46" s="236">
        <v>2.0900000000000002E-2</v>
      </c>
      <c r="AL46" s="236">
        <v>0.13200000000000001</v>
      </c>
      <c r="AM46" s="207" t="s">
        <v>259</v>
      </c>
      <c r="AN46" s="207" t="s">
        <v>259</v>
      </c>
      <c r="AO46" s="208" t="s">
        <v>259</v>
      </c>
      <c r="AP46" s="208" t="s">
        <v>259</v>
      </c>
      <c r="AQ46" s="208" t="s">
        <v>259</v>
      </c>
      <c r="AR46" s="208" t="s">
        <v>259</v>
      </c>
      <c r="AS46" s="208" t="s">
        <v>259</v>
      </c>
      <c r="AT46" s="208" t="s">
        <v>259</v>
      </c>
      <c r="AU46" s="207">
        <v>410802</v>
      </c>
      <c r="AV46" s="239" t="s">
        <v>260</v>
      </c>
      <c r="AW46" s="208">
        <v>75.900000000000006</v>
      </c>
      <c r="AX46" s="208" t="s">
        <v>1760</v>
      </c>
      <c r="AY46" s="208" t="s">
        <v>0</v>
      </c>
      <c r="AZ46" s="208">
        <v>0</v>
      </c>
      <c r="BA46" s="208">
        <v>0</v>
      </c>
      <c r="BB46" s="208">
        <v>1128.0500000000002</v>
      </c>
      <c r="BC46" s="208">
        <v>1128.0500000000002</v>
      </c>
      <c r="BD46" s="208">
        <v>1128.0500000000002</v>
      </c>
      <c r="BE46" s="208">
        <v>977.35</v>
      </c>
      <c r="BF46" s="208">
        <v>1898.0500000000002</v>
      </c>
      <c r="BG46" s="208">
        <v>1128.0500000000002</v>
      </c>
      <c r="BH46" s="208">
        <v>2008.0500000000002</v>
      </c>
      <c r="BI46" s="208">
        <v>1073.0500000000002</v>
      </c>
      <c r="BJ46" s="208">
        <v>1128.05</v>
      </c>
      <c r="BK46" s="208">
        <v>1073.0500000000002</v>
      </c>
      <c r="BL46" s="207" t="s">
        <v>262</v>
      </c>
      <c r="BM46" s="207" t="s">
        <v>265</v>
      </c>
      <c r="BN46" s="207" t="s">
        <v>271</v>
      </c>
      <c r="BO46" s="239">
        <v>20000</v>
      </c>
      <c r="BP46" s="239">
        <v>1200000</v>
      </c>
      <c r="BQ46" s="207" t="s">
        <v>276</v>
      </c>
      <c r="BR46" s="207" t="s">
        <v>281</v>
      </c>
      <c r="BS46" s="207" t="s">
        <v>284</v>
      </c>
      <c r="BT46" s="207" t="s">
        <v>2</v>
      </c>
      <c r="BU46" s="207" t="s">
        <v>262</v>
      </c>
      <c r="BV46" s="207" t="s">
        <v>286</v>
      </c>
      <c r="BW46" s="207" t="s">
        <v>289</v>
      </c>
      <c r="BX46" s="207" t="s">
        <v>293</v>
      </c>
      <c r="BY46" s="207">
        <v>100</v>
      </c>
      <c r="BZ46" s="207" t="s">
        <v>296</v>
      </c>
      <c r="CA46" s="207" t="s">
        <v>2</v>
      </c>
      <c r="CB46" s="207" t="s">
        <v>2</v>
      </c>
      <c r="CC46" s="207" t="s">
        <v>2</v>
      </c>
      <c r="CD46" s="207" t="s">
        <v>2</v>
      </c>
      <c r="CE46" s="207" t="s">
        <v>2</v>
      </c>
      <c r="CF46" s="207" t="s">
        <v>300</v>
      </c>
      <c r="CG46" s="207" t="s">
        <v>307</v>
      </c>
      <c r="CH46" s="207" t="s">
        <v>308</v>
      </c>
      <c r="CI46" s="207" t="s">
        <v>2</v>
      </c>
      <c r="CJ46" s="207" t="s">
        <v>2</v>
      </c>
      <c r="CK46" s="207" t="s">
        <v>312</v>
      </c>
      <c r="CL46" s="207" t="s">
        <v>2</v>
      </c>
      <c r="CM46" s="207" t="s">
        <v>2</v>
      </c>
      <c r="CN46" s="207" t="s">
        <v>314</v>
      </c>
      <c r="CO46" s="207" t="s">
        <v>317</v>
      </c>
      <c r="CP46" s="207" t="s">
        <v>320</v>
      </c>
      <c r="CQ46" s="207" t="s">
        <v>323</v>
      </c>
      <c r="CR46" s="207" t="s">
        <v>326</v>
      </c>
      <c r="CS46" s="207" t="s">
        <v>3</v>
      </c>
      <c r="CT46" s="207" t="s">
        <v>329</v>
      </c>
      <c r="CU46" s="25">
        <v>0</v>
      </c>
      <c r="CV46" s="200">
        <f t="shared" si="5"/>
        <v>418298</v>
      </c>
      <c r="CW46" s="199" t="str">
        <f t="shared" si="6"/>
        <v>Ricoh</v>
      </c>
      <c r="CX46" s="199" t="str">
        <f>IF(Data!D46="E","Entry",IF(Data!D46="L","Low",IF(Data!D46="M","Medium","High")))</f>
        <v>Low</v>
      </c>
      <c r="CY46" s="206" t="str">
        <f t="shared" si="7"/>
        <v>MFD-Colour_Ri_L_1Y</v>
      </c>
    </row>
    <row r="47" spans="1:103" ht="15.95" customHeight="1" x14ac:dyDescent="0.2">
      <c r="A47" s="25" t="s">
        <v>472</v>
      </c>
      <c r="B47" s="25" t="s">
        <v>402</v>
      </c>
      <c r="C47" s="200" t="s">
        <v>8</v>
      </c>
      <c r="D47" s="203" t="s">
        <v>435</v>
      </c>
      <c r="E47" s="203">
        <v>2</v>
      </c>
      <c r="F47" s="203" t="s">
        <v>155</v>
      </c>
      <c r="G47" s="200">
        <v>418306</v>
      </c>
      <c r="H47" s="200" t="s">
        <v>2150</v>
      </c>
      <c r="I47" s="200">
        <v>35</v>
      </c>
      <c r="J47" s="201">
        <v>1200000</v>
      </c>
      <c r="K47" s="201">
        <v>20000</v>
      </c>
      <c r="L47" s="208">
        <v>4679.53</v>
      </c>
      <c r="M47" s="236">
        <v>5.5000000000000005E-3</v>
      </c>
      <c r="N47" s="236">
        <v>5.5000000000000007E-2</v>
      </c>
      <c r="O47" s="236" t="s">
        <v>0</v>
      </c>
      <c r="P47" s="236" t="s">
        <v>0</v>
      </c>
      <c r="Q47" s="236" t="s">
        <v>0</v>
      </c>
      <c r="R47" s="236" t="s">
        <v>0</v>
      </c>
      <c r="S47" s="236">
        <v>1.1000000000000001E-2</v>
      </c>
      <c r="T47" s="236">
        <v>0.13200000000000001</v>
      </c>
      <c r="U47" s="236">
        <v>1.7600000000000001E-2</v>
      </c>
      <c r="V47" s="236">
        <v>0.15400000000000003</v>
      </c>
      <c r="W47" s="236">
        <v>8.9099999999999995E-3</v>
      </c>
      <c r="X47" s="236">
        <v>5.9400000000000001E-2</v>
      </c>
      <c r="Y47" s="236">
        <v>1.0670000000000001E-2</v>
      </c>
      <c r="Z47" s="236">
        <v>7.5459999999999999E-2</v>
      </c>
      <c r="AA47" s="236">
        <v>1.9800000000000002E-2</v>
      </c>
      <c r="AB47" s="236">
        <v>0.14300000000000002</v>
      </c>
      <c r="AC47" s="236">
        <v>1.1000000000000001E-2</v>
      </c>
      <c r="AD47" s="236">
        <v>0.11000000000000001</v>
      </c>
      <c r="AE47" s="236">
        <v>1.7600000000000001E-2</v>
      </c>
      <c r="AF47" s="236">
        <v>0.13200000000000001</v>
      </c>
      <c r="AG47" s="236">
        <v>2.0900000000000002E-2</v>
      </c>
      <c r="AH47" s="236">
        <v>0.13200000000000001</v>
      </c>
      <c r="AI47" s="236">
        <v>1.7600000000000001E-2</v>
      </c>
      <c r="AJ47" s="236">
        <v>0.15400000000000003</v>
      </c>
      <c r="AK47" s="236">
        <v>2.0900000000000002E-2</v>
      </c>
      <c r="AL47" s="236">
        <v>0.13200000000000001</v>
      </c>
      <c r="AM47" s="207" t="s">
        <v>259</v>
      </c>
      <c r="AN47" s="207" t="s">
        <v>259</v>
      </c>
      <c r="AO47" s="208" t="s">
        <v>259</v>
      </c>
      <c r="AP47" s="208" t="s">
        <v>259</v>
      </c>
      <c r="AQ47" s="208" t="s">
        <v>259</v>
      </c>
      <c r="AR47" s="208" t="s">
        <v>259</v>
      </c>
      <c r="AS47" s="208" t="s">
        <v>259</v>
      </c>
      <c r="AT47" s="208" t="s">
        <v>259</v>
      </c>
      <c r="AU47" s="207">
        <v>410802</v>
      </c>
      <c r="AV47" s="239" t="s">
        <v>260</v>
      </c>
      <c r="AW47" s="208">
        <v>75.900000000000006</v>
      </c>
      <c r="AX47" s="208" t="s">
        <v>1760</v>
      </c>
      <c r="AY47" s="208" t="s">
        <v>0</v>
      </c>
      <c r="AZ47" s="208">
        <v>0</v>
      </c>
      <c r="BA47" s="208">
        <v>0</v>
      </c>
      <c r="BB47" s="208">
        <v>1163.9100000000001</v>
      </c>
      <c r="BC47" s="208">
        <v>1163.9100000000001</v>
      </c>
      <c r="BD47" s="208">
        <v>1163.9100000000001</v>
      </c>
      <c r="BE47" s="208">
        <v>1013.2100000000002</v>
      </c>
      <c r="BF47" s="208">
        <v>1933.91</v>
      </c>
      <c r="BG47" s="208">
        <v>1163.9100000000001</v>
      </c>
      <c r="BH47" s="208">
        <v>2043.91</v>
      </c>
      <c r="BI47" s="208">
        <v>1108.9100000000001</v>
      </c>
      <c r="BJ47" s="208">
        <v>1163.9100000000001</v>
      </c>
      <c r="BK47" s="208">
        <v>1108.9100000000001</v>
      </c>
      <c r="BL47" s="207" t="s">
        <v>262</v>
      </c>
      <c r="BM47" s="207" t="s">
        <v>265</v>
      </c>
      <c r="BN47" s="207" t="s">
        <v>271</v>
      </c>
      <c r="BO47" s="239">
        <v>20000</v>
      </c>
      <c r="BP47" s="239">
        <v>1200000</v>
      </c>
      <c r="BQ47" s="207" t="s">
        <v>276</v>
      </c>
      <c r="BR47" s="207" t="s">
        <v>281</v>
      </c>
      <c r="BS47" s="207" t="s">
        <v>284</v>
      </c>
      <c r="BT47" s="207" t="s">
        <v>2</v>
      </c>
      <c r="BU47" s="207" t="s">
        <v>262</v>
      </c>
      <c r="BV47" s="207" t="s">
        <v>286</v>
      </c>
      <c r="BW47" s="207" t="s">
        <v>289</v>
      </c>
      <c r="BX47" s="207" t="s">
        <v>293</v>
      </c>
      <c r="BY47" s="207">
        <v>100</v>
      </c>
      <c r="BZ47" s="207" t="s">
        <v>296</v>
      </c>
      <c r="CA47" s="207" t="s">
        <v>2</v>
      </c>
      <c r="CB47" s="207" t="s">
        <v>2</v>
      </c>
      <c r="CC47" s="207" t="s">
        <v>2</v>
      </c>
      <c r="CD47" s="207" t="s">
        <v>2</v>
      </c>
      <c r="CE47" s="207" t="s">
        <v>2</v>
      </c>
      <c r="CF47" s="207" t="s">
        <v>301</v>
      </c>
      <c r="CG47" s="207" t="s">
        <v>307</v>
      </c>
      <c r="CH47" s="207" t="s">
        <v>308</v>
      </c>
      <c r="CI47" s="207" t="s">
        <v>2</v>
      </c>
      <c r="CJ47" s="207" t="s">
        <v>2</v>
      </c>
      <c r="CK47" s="207" t="s">
        <v>312</v>
      </c>
      <c r="CL47" s="207" t="s">
        <v>2</v>
      </c>
      <c r="CM47" s="207" t="s">
        <v>2</v>
      </c>
      <c r="CN47" s="207" t="s">
        <v>314</v>
      </c>
      <c r="CO47" s="207" t="s">
        <v>317</v>
      </c>
      <c r="CP47" s="207" t="s">
        <v>320</v>
      </c>
      <c r="CQ47" s="207" t="s">
        <v>323</v>
      </c>
      <c r="CR47" s="207" t="s">
        <v>326</v>
      </c>
      <c r="CS47" s="207" t="s">
        <v>3</v>
      </c>
      <c r="CT47" s="207" t="s">
        <v>329</v>
      </c>
      <c r="CU47" s="25">
        <v>0</v>
      </c>
      <c r="CV47" s="200">
        <f t="shared" si="5"/>
        <v>418306</v>
      </c>
      <c r="CW47" s="199" t="str">
        <f t="shared" si="6"/>
        <v>Ricoh</v>
      </c>
      <c r="CX47" s="199" t="str">
        <f>IF(Data!D47="E","Entry",IF(Data!D47="L","Low",IF(Data!D47="M","Medium","High")))</f>
        <v>Low</v>
      </c>
      <c r="CY47" s="206" t="str">
        <f t="shared" si="7"/>
        <v>MFD-Colour_Ri_L_2Y</v>
      </c>
    </row>
    <row r="48" spans="1:103" ht="15.95" customHeight="1" x14ac:dyDescent="0.2">
      <c r="A48" s="25" t="s">
        <v>473</v>
      </c>
      <c r="B48" s="25" t="s">
        <v>402</v>
      </c>
      <c r="C48" s="200" t="s">
        <v>8</v>
      </c>
      <c r="D48" s="203" t="s">
        <v>435</v>
      </c>
      <c r="E48" s="203">
        <v>3</v>
      </c>
      <c r="F48" s="203" t="s">
        <v>155</v>
      </c>
      <c r="G48" s="200" t="s">
        <v>2111</v>
      </c>
      <c r="H48" s="200" t="s">
        <v>1968</v>
      </c>
      <c r="I48" s="200">
        <v>30</v>
      </c>
      <c r="J48" s="201">
        <v>300000</v>
      </c>
      <c r="K48" s="201">
        <v>7500</v>
      </c>
      <c r="L48" s="208">
        <v>2248.8840000000005</v>
      </c>
      <c r="M48" s="236">
        <v>7.7000000000000011E-3</v>
      </c>
      <c r="N48" s="236">
        <v>7.7000000000000013E-2</v>
      </c>
      <c r="O48" s="236" t="s">
        <v>0</v>
      </c>
      <c r="P48" s="236" t="s">
        <v>0</v>
      </c>
      <c r="Q48" s="236" t="s">
        <v>0</v>
      </c>
      <c r="R48" s="236" t="s">
        <v>0</v>
      </c>
      <c r="S48" s="236">
        <v>2.2000000000000002E-2</v>
      </c>
      <c r="T48" s="236">
        <v>0.15400000000000003</v>
      </c>
      <c r="U48" s="236">
        <v>2.6400000000000003E-2</v>
      </c>
      <c r="V48" s="236">
        <v>0.17600000000000002</v>
      </c>
      <c r="W48" s="236">
        <v>2.035E-2</v>
      </c>
      <c r="X48" s="236">
        <v>0.12936</v>
      </c>
      <c r="Y48" s="236">
        <v>2.2000000000000002E-2</v>
      </c>
      <c r="Z48" s="236">
        <v>9.9000000000000005E-2</v>
      </c>
      <c r="AA48" s="236">
        <v>3.0800000000000004E-2</v>
      </c>
      <c r="AB48" s="236">
        <v>0.17600000000000002</v>
      </c>
      <c r="AC48" s="236">
        <v>1.3200000000000002E-2</v>
      </c>
      <c r="AD48" s="236">
        <v>0.13200000000000001</v>
      </c>
      <c r="AE48" s="236">
        <v>2.9700000000000001E-2</v>
      </c>
      <c r="AF48" s="236">
        <v>0.16500000000000001</v>
      </c>
      <c r="AG48" s="236">
        <v>2.0900000000000002E-2</v>
      </c>
      <c r="AH48" s="236">
        <v>0.13200000000000001</v>
      </c>
      <c r="AI48" s="236">
        <v>2.6400000000000003E-2</v>
      </c>
      <c r="AJ48" s="236">
        <v>0.17600000000000002</v>
      </c>
      <c r="AK48" s="236">
        <v>2.0900000000000002E-2</v>
      </c>
      <c r="AL48" s="236">
        <v>0.13200000000000001</v>
      </c>
      <c r="AM48" s="207" t="s">
        <v>259</v>
      </c>
      <c r="AN48" s="207" t="s">
        <v>259</v>
      </c>
      <c r="AO48" s="208" t="s">
        <v>259</v>
      </c>
      <c r="AP48" s="208" t="s">
        <v>259</v>
      </c>
      <c r="AQ48" s="208" t="s">
        <v>259</v>
      </c>
      <c r="AR48" s="208" t="s">
        <v>259</v>
      </c>
      <c r="AS48" s="208" t="s">
        <v>259</v>
      </c>
      <c r="AT48" s="208" t="s">
        <v>259</v>
      </c>
      <c r="AU48" s="207" t="s">
        <v>0</v>
      </c>
      <c r="AV48" s="239" t="s">
        <v>0</v>
      </c>
      <c r="AW48" s="208" t="s">
        <v>0</v>
      </c>
      <c r="AX48" s="208" t="s">
        <v>1760</v>
      </c>
      <c r="AY48" s="208" t="s">
        <v>0</v>
      </c>
      <c r="AZ48" s="208">
        <v>0</v>
      </c>
      <c r="BA48" s="208">
        <v>0</v>
      </c>
      <c r="BB48" s="208">
        <v>978.23000000000013</v>
      </c>
      <c r="BC48" s="208">
        <v>978.23000000000013</v>
      </c>
      <c r="BD48" s="208">
        <v>813.23000000000013</v>
      </c>
      <c r="BE48" s="208">
        <v>800.03000000000009</v>
      </c>
      <c r="BF48" s="208">
        <v>1198.23</v>
      </c>
      <c r="BG48" s="208">
        <v>978.23000000000013</v>
      </c>
      <c r="BH48" s="208">
        <v>1198.23</v>
      </c>
      <c r="BI48" s="208">
        <v>923.23000000000013</v>
      </c>
      <c r="BJ48" s="208">
        <v>978.23</v>
      </c>
      <c r="BK48" s="208">
        <v>923.23000000000013</v>
      </c>
      <c r="BL48" s="207" t="s">
        <v>263</v>
      </c>
      <c r="BM48" s="207" t="s">
        <v>266</v>
      </c>
      <c r="BN48" s="207" t="s">
        <v>272</v>
      </c>
      <c r="BO48" s="239">
        <v>5000</v>
      </c>
      <c r="BP48" s="239">
        <v>300000</v>
      </c>
      <c r="BQ48" s="207" t="s">
        <v>277</v>
      </c>
      <c r="BR48" s="207" t="s">
        <v>282</v>
      </c>
      <c r="BS48" s="207" t="s">
        <v>285</v>
      </c>
      <c r="BT48" s="207" t="s">
        <v>2</v>
      </c>
      <c r="BU48" s="207" t="s">
        <v>263</v>
      </c>
      <c r="BV48" s="207" t="s">
        <v>287</v>
      </c>
      <c r="BW48" s="207" t="s">
        <v>290</v>
      </c>
      <c r="BX48" s="207" t="s">
        <v>294</v>
      </c>
      <c r="BY48" s="207">
        <v>100</v>
      </c>
      <c r="BZ48" s="207" t="s">
        <v>297</v>
      </c>
      <c r="CA48" s="207" t="s">
        <v>2</v>
      </c>
      <c r="CB48" s="207" t="s">
        <v>2</v>
      </c>
      <c r="CC48" s="207" t="s">
        <v>2</v>
      </c>
      <c r="CD48" s="207" t="s">
        <v>2</v>
      </c>
      <c r="CE48" s="207" t="s">
        <v>2</v>
      </c>
      <c r="CF48" s="207" t="s">
        <v>302</v>
      </c>
      <c r="CG48" s="207" t="s">
        <v>307</v>
      </c>
      <c r="CH48" s="207" t="s">
        <v>309</v>
      </c>
      <c r="CI48" s="207" t="s">
        <v>2</v>
      </c>
      <c r="CJ48" s="207" t="s">
        <v>2</v>
      </c>
      <c r="CK48" s="207" t="s">
        <v>312</v>
      </c>
      <c r="CL48" s="207" t="s">
        <v>2</v>
      </c>
      <c r="CM48" s="207" t="s">
        <v>2</v>
      </c>
      <c r="CN48" s="207" t="s">
        <v>315</v>
      </c>
      <c r="CO48" s="207" t="s">
        <v>318</v>
      </c>
      <c r="CP48" s="207" t="s">
        <v>321</v>
      </c>
      <c r="CQ48" s="207" t="s">
        <v>324</v>
      </c>
      <c r="CR48" s="207" t="s">
        <v>327</v>
      </c>
      <c r="CS48" s="207" t="s">
        <v>2</v>
      </c>
      <c r="CT48" s="207" t="s">
        <v>329</v>
      </c>
      <c r="CU48" s="25">
        <v>0</v>
      </c>
      <c r="CV48" s="200" t="str">
        <f t="shared" si="5"/>
        <v>418573A</v>
      </c>
      <c r="CW48" s="199" t="str">
        <f t="shared" si="6"/>
        <v>Ricoh</v>
      </c>
      <c r="CX48" s="199" t="str">
        <f>IF(Data!D48="E","Entry",IF(Data!D48="L","Low",IF(Data!D48="M","Medium","High")))</f>
        <v>Low</v>
      </c>
      <c r="CY48" s="206" t="str">
        <f t="shared" si="7"/>
        <v>MFD-Colour_Ri_L_3Y</v>
      </c>
    </row>
    <row r="49" spans="1:103" ht="15.95" customHeight="1" x14ac:dyDescent="0.2">
      <c r="A49" s="26" t="s">
        <v>474</v>
      </c>
      <c r="B49" s="26" t="s">
        <v>402</v>
      </c>
      <c r="C49" s="27" t="s">
        <v>8</v>
      </c>
      <c r="D49" s="184" t="s">
        <v>435</v>
      </c>
      <c r="E49" s="184">
        <v>4</v>
      </c>
      <c r="F49" s="184" t="s">
        <v>155</v>
      </c>
      <c r="G49" s="27">
        <v>0</v>
      </c>
      <c r="H49" s="27" t="s">
        <v>899</v>
      </c>
      <c r="I49" s="27">
        <v>0</v>
      </c>
      <c r="J49" s="185">
        <v>0</v>
      </c>
      <c r="K49" s="185">
        <v>0</v>
      </c>
      <c r="L49" s="32">
        <v>0</v>
      </c>
      <c r="M49" s="28">
        <v>0</v>
      </c>
      <c r="N49" s="28">
        <v>0</v>
      </c>
      <c r="O49" s="28" t="s">
        <v>0</v>
      </c>
      <c r="P49" s="28" t="s">
        <v>0</v>
      </c>
      <c r="Q49" s="28" t="s">
        <v>0</v>
      </c>
      <c r="R49" s="28" t="s">
        <v>0</v>
      </c>
      <c r="S49" s="28">
        <v>0</v>
      </c>
      <c r="T49" s="28">
        <v>0</v>
      </c>
      <c r="U49" s="28">
        <v>0</v>
      </c>
      <c r="V49" s="28">
        <v>0</v>
      </c>
      <c r="W49" s="28">
        <v>0</v>
      </c>
      <c r="X49" s="28">
        <v>0</v>
      </c>
      <c r="Y49" s="28">
        <v>0</v>
      </c>
      <c r="Z49" s="28">
        <v>0</v>
      </c>
      <c r="AA49" s="28">
        <v>0</v>
      </c>
      <c r="AB49" s="28">
        <v>0</v>
      </c>
      <c r="AC49" s="28">
        <v>0</v>
      </c>
      <c r="AD49" s="28">
        <v>0</v>
      </c>
      <c r="AE49" s="28">
        <v>0</v>
      </c>
      <c r="AF49" s="28">
        <v>0</v>
      </c>
      <c r="AG49" s="28">
        <v>0</v>
      </c>
      <c r="AH49" s="28">
        <v>0</v>
      </c>
      <c r="AI49" s="28">
        <v>0</v>
      </c>
      <c r="AJ49" s="28">
        <v>0</v>
      </c>
      <c r="AK49" s="28">
        <v>0</v>
      </c>
      <c r="AL49" s="28">
        <v>0</v>
      </c>
      <c r="AM49" s="30">
        <v>0</v>
      </c>
      <c r="AN49" s="30">
        <v>0</v>
      </c>
      <c r="AO49" s="32">
        <v>0</v>
      </c>
      <c r="AP49" s="32">
        <v>0</v>
      </c>
      <c r="AQ49" s="32">
        <v>0</v>
      </c>
      <c r="AR49" s="32">
        <v>0</v>
      </c>
      <c r="AS49" s="32">
        <v>0</v>
      </c>
      <c r="AT49" s="32">
        <v>0</v>
      </c>
      <c r="AU49" s="30">
        <v>0</v>
      </c>
      <c r="AV49" s="31">
        <v>0</v>
      </c>
      <c r="AW49" s="32">
        <v>0</v>
      </c>
      <c r="AX49" s="32">
        <v>0</v>
      </c>
      <c r="AY49" s="32">
        <v>0</v>
      </c>
      <c r="AZ49" s="32">
        <v>0</v>
      </c>
      <c r="BA49" s="32">
        <v>0</v>
      </c>
      <c r="BB49" s="32">
        <v>0</v>
      </c>
      <c r="BC49" s="32">
        <v>0</v>
      </c>
      <c r="BD49" s="32">
        <v>0</v>
      </c>
      <c r="BE49" s="32">
        <v>0</v>
      </c>
      <c r="BF49" s="32">
        <v>0</v>
      </c>
      <c r="BG49" s="32">
        <v>0</v>
      </c>
      <c r="BH49" s="32">
        <v>0</v>
      </c>
      <c r="BI49" s="32">
        <v>0</v>
      </c>
      <c r="BJ49" s="32">
        <v>0</v>
      </c>
      <c r="BK49" s="32">
        <v>0</v>
      </c>
      <c r="BL49" s="30">
        <v>0</v>
      </c>
      <c r="BM49" s="30">
        <v>0</v>
      </c>
      <c r="BN49" s="30">
        <v>0</v>
      </c>
      <c r="BO49" s="31">
        <v>0</v>
      </c>
      <c r="BP49" s="31">
        <v>0</v>
      </c>
      <c r="BQ49" s="30">
        <v>0</v>
      </c>
      <c r="BR49" s="30">
        <v>0</v>
      </c>
      <c r="BS49" s="30">
        <v>0</v>
      </c>
      <c r="BT49" s="30">
        <v>0</v>
      </c>
      <c r="BU49" s="30">
        <v>0</v>
      </c>
      <c r="BV49" s="30">
        <v>0</v>
      </c>
      <c r="BW49" s="30">
        <v>0</v>
      </c>
      <c r="BX49" s="30">
        <v>0</v>
      </c>
      <c r="BY49" s="30">
        <v>0</v>
      </c>
      <c r="BZ49" s="30">
        <v>0</v>
      </c>
      <c r="CA49" s="30">
        <v>0</v>
      </c>
      <c r="CB49" s="30">
        <v>0</v>
      </c>
      <c r="CC49" s="30">
        <v>0</v>
      </c>
      <c r="CD49" s="30">
        <v>0</v>
      </c>
      <c r="CE49" s="30">
        <v>0</v>
      </c>
      <c r="CF49" s="30">
        <v>0</v>
      </c>
      <c r="CG49" s="30">
        <v>0</v>
      </c>
      <c r="CH49" s="30">
        <v>0</v>
      </c>
      <c r="CI49" s="30">
        <v>0</v>
      </c>
      <c r="CJ49" s="30">
        <v>0</v>
      </c>
      <c r="CK49" s="30">
        <v>0</v>
      </c>
      <c r="CL49" s="30">
        <v>0</v>
      </c>
      <c r="CM49" s="30">
        <v>0</v>
      </c>
      <c r="CN49" s="30">
        <v>0</v>
      </c>
      <c r="CO49" s="30">
        <v>0</v>
      </c>
      <c r="CP49" s="30">
        <v>0</v>
      </c>
      <c r="CQ49" s="30">
        <v>0</v>
      </c>
      <c r="CR49" s="30">
        <v>0</v>
      </c>
      <c r="CS49" s="30">
        <v>0</v>
      </c>
      <c r="CT49" s="30">
        <v>0</v>
      </c>
      <c r="CU49" s="26">
        <v>0</v>
      </c>
      <c r="CV49" s="27">
        <f t="shared" si="5"/>
        <v>0</v>
      </c>
      <c r="CW49" s="186" t="str">
        <f t="shared" si="6"/>
        <v>Ricoh</v>
      </c>
      <c r="CX49" s="186" t="str">
        <f>IF(Data!D49="E","Entry",IF(Data!D49="L","Low",IF(Data!D49="M","Medium","High")))</f>
        <v>Low</v>
      </c>
      <c r="CY49" s="187" t="str">
        <f t="shared" si="7"/>
        <v>MFD-Colour_Ri_L_4N</v>
      </c>
    </row>
    <row r="50" spans="1:103" ht="15.95" customHeight="1" x14ac:dyDescent="0.2">
      <c r="A50" s="25" t="s">
        <v>475</v>
      </c>
      <c r="B50" s="25" t="s">
        <v>402</v>
      </c>
      <c r="C50" s="200" t="s">
        <v>8</v>
      </c>
      <c r="D50" s="203" t="s">
        <v>433</v>
      </c>
      <c r="E50" s="203">
        <v>1</v>
      </c>
      <c r="F50" s="203" t="s">
        <v>156</v>
      </c>
      <c r="G50" s="200">
        <v>418315</v>
      </c>
      <c r="H50" s="200" t="s">
        <v>2151</v>
      </c>
      <c r="I50" s="200">
        <v>45</v>
      </c>
      <c r="J50" s="201">
        <v>3000000</v>
      </c>
      <c r="K50" s="201">
        <v>50000</v>
      </c>
      <c r="L50" s="208">
        <v>5298.4800000000005</v>
      </c>
      <c r="M50" s="236">
        <v>5.5000000000000005E-3</v>
      </c>
      <c r="N50" s="236">
        <v>5.5000000000000007E-2</v>
      </c>
      <c r="O50" s="236" t="s">
        <v>0</v>
      </c>
      <c r="P50" s="236" t="s">
        <v>0</v>
      </c>
      <c r="Q50" s="236" t="s">
        <v>0</v>
      </c>
      <c r="R50" s="236" t="s">
        <v>0</v>
      </c>
      <c r="S50" s="236">
        <v>1.1000000000000001E-2</v>
      </c>
      <c r="T50" s="236">
        <v>0.12100000000000001</v>
      </c>
      <c r="U50" s="236">
        <v>1.7600000000000001E-2</v>
      </c>
      <c r="V50" s="236">
        <v>0.15400000000000003</v>
      </c>
      <c r="W50" s="236">
        <v>9.3500000000000007E-3</v>
      </c>
      <c r="X50" s="236">
        <v>6.4460000000000003E-2</v>
      </c>
      <c r="Y50" s="236">
        <v>9.9000000000000008E-3</v>
      </c>
      <c r="Z50" s="236">
        <v>7.4029999999999999E-2</v>
      </c>
      <c r="AA50" s="236">
        <v>1.9800000000000002E-2</v>
      </c>
      <c r="AB50" s="236">
        <v>0.13200000000000001</v>
      </c>
      <c r="AC50" s="236">
        <v>1.1000000000000001E-2</v>
      </c>
      <c r="AD50" s="236">
        <v>0.11000000000000001</v>
      </c>
      <c r="AE50" s="236">
        <v>1.6500000000000001E-2</v>
      </c>
      <c r="AF50" s="236">
        <v>0.12100000000000001</v>
      </c>
      <c r="AG50" s="236">
        <v>2.0900000000000002E-2</v>
      </c>
      <c r="AH50" s="236">
        <v>0.12100000000000001</v>
      </c>
      <c r="AI50" s="236">
        <v>1.7600000000000001E-2</v>
      </c>
      <c r="AJ50" s="236">
        <v>0.15400000000000003</v>
      </c>
      <c r="AK50" s="236">
        <v>2.0900000000000002E-2</v>
      </c>
      <c r="AL50" s="236">
        <v>0.12100000000000001</v>
      </c>
      <c r="AM50" s="207" t="s">
        <v>259</v>
      </c>
      <c r="AN50" s="207" t="s">
        <v>259</v>
      </c>
      <c r="AO50" s="208" t="s">
        <v>259</v>
      </c>
      <c r="AP50" s="208" t="s">
        <v>259</v>
      </c>
      <c r="AQ50" s="208" t="s">
        <v>259</v>
      </c>
      <c r="AR50" s="208" t="s">
        <v>259</v>
      </c>
      <c r="AS50" s="208" t="s">
        <v>259</v>
      </c>
      <c r="AT50" s="208" t="s">
        <v>259</v>
      </c>
      <c r="AU50" s="207">
        <v>410802</v>
      </c>
      <c r="AV50" s="239" t="s">
        <v>260</v>
      </c>
      <c r="AW50" s="208">
        <v>75.900000000000006</v>
      </c>
      <c r="AX50" s="208" t="s">
        <v>1760</v>
      </c>
      <c r="AY50" s="208" t="s">
        <v>0</v>
      </c>
      <c r="AZ50" s="208">
        <v>0</v>
      </c>
      <c r="BA50" s="208">
        <v>0</v>
      </c>
      <c r="BB50" s="208">
        <v>1260.6000000000001</v>
      </c>
      <c r="BC50" s="208">
        <v>1260.6000000000001</v>
      </c>
      <c r="BD50" s="208">
        <v>1260.6000000000001</v>
      </c>
      <c r="BE50" s="208">
        <v>1109.9000000000001</v>
      </c>
      <c r="BF50" s="208">
        <v>2030.6000000000001</v>
      </c>
      <c r="BG50" s="208">
        <v>1260.6000000000001</v>
      </c>
      <c r="BH50" s="208">
        <v>2470.6000000000004</v>
      </c>
      <c r="BI50" s="208">
        <v>1205.6000000000001</v>
      </c>
      <c r="BJ50" s="208">
        <v>1260.5999999999999</v>
      </c>
      <c r="BK50" s="208">
        <v>1205.6000000000001</v>
      </c>
      <c r="BL50" s="207" t="s">
        <v>262</v>
      </c>
      <c r="BM50" s="207" t="s">
        <v>267</v>
      </c>
      <c r="BN50" s="207" t="s">
        <v>273</v>
      </c>
      <c r="BO50" s="239">
        <v>50000</v>
      </c>
      <c r="BP50" s="239">
        <v>300000</v>
      </c>
      <c r="BQ50" s="207" t="s">
        <v>278</v>
      </c>
      <c r="BR50" s="207" t="s">
        <v>281</v>
      </c>
      <c r="BS50" s="207" t="s">
        <v>284</v>
      </c>
      <c r="BT50" s="207" t="s">
        <v>2</v>
      </c>
      <c r="BU50" s="207" t="s">
        <v>262</v>
      </c>
      <c r="BV50" s="207" t="s">
        <v>286</v>
      </c>
      <c r="BW50" s="207" t="s">
        <v>289</v>
      </c>
      <c r="BX50" s="207" t="s">
        <v>293</v>
      </c>
      <c r="BY50" s="207">
        <v>100</v>
      </c>
      <c r="BZ50" s="207" t="s">
        <v>296</v>
      </c>
      <c r="CA50" s="207" t="s">
        <v>2</v>
      </c>
      <c r="CB50" s="207" t="s">
        <v>2</v>
      </c>
      <c r="CC50" s="207" t="s">
        <v>2</v>
      </c>
      <c r="CD50" s="207" t="s">
        <v>2</v>
      </c>
      <c r="CE50" s="207" t="s">
        <v>2</v>
      </c>
      <c r="CF50" s="207" t="s">
        <v>303</v>
      </c>
      <c r="CG50" s="207" t="s">
        <v>307</v>
      </c>
      <c r="CH50" s="207" t="s">
        <v>310</v>
      </c>
      <c r="CI50" s="207" t="s">
        <v>2</v>
      </c>
      <c r="CJ50" s="207" t="s">
        <v>2</v>
      </c>
      <c r="CK50" s="207" t="s">
        <v>312</v>
      </c>
      <c r="CL50" s="207" t="s">
        <v>2</v>
      </c>
      <c r="CM50" s="207" t="s">
        <v>2</v>
      </c>
      <c r="CN50" s="207" t="s">
        <v>314</v>
      </c>
      <c r="CO50" s="207" t="s">
        <v>317</v>
      </c>
      <c r="CP50" s="207" t="s">
        <v>320</v>
      </c>
      <c r="CQ50" s="207" t="s">
        <v>323</v>
      </c>
      <c r="CR50" s="207" t="s">
        <v>326</v>
      </c>
      <c r="CS50" s="207" t="s">
        <v>3</v>
      </c>
      <c r="CT50" s="207" t="s">
        <v>329</v>
      </c>
      <c r="CU50" s="25">
        <v>0</v>
      </c>
      <c r="CV50" s="200">
        <f t="shared" si="5"/>
        <v>418315</v>
      </c>
      <c r="CW50" s="199" t="str">
        <f t="shared" si="6"/>
        <v>Ricoh</v>
      </c>
      <c r="CX50" s="199" t="str">
        <f>IF(Data!D50="E","Entry",IF(Data!D50="L","Low",IF(Data!D50="M","Medium","High")))</f>
        <v>Medium</v>
      </c>
      <c r="CY50" s="206" t="str">
        <f t="shared" si="7"/>
        <v>MFD-Colour_Ri_M_1Y</v>
      </c>
    </row>
    <row r="51" spans="1:103" ht="15.95" customHeight="1" x14ac:dyDescent="0.2">
      <c r="A51" s="304" t="s">
        <v>476</v>
      </c>
      <c r="B51" s="305" t="s">
        <v>402</v>
      </c>
      <c r="C51" s="274" t="s">
        <v>8</v>
      </c>
      <c r="D51" s="274" t="s">
        <v>433</v>
      </c>
      <c r="E51" s="274">
        <v>2</v>
      </c>
      <c r="F51" s="274" t="s">
        <v>156</v>
      </c>
      <c r="G51" s="274">
        <v>418567</v>
      </c>
      <c r="H51" s="274" t="s">
        <v>2153</v>
      </c>
      <c r="I51" s="274">
        <v>40</v>
      </c>
      <c r="J51" s="275">
        <v>600000</v>
      </c>
      <c r="K51" s="275">
        <v>60000</v>
      </c>
      <c r="L51" s="306">
        <v>2757.35</v>
      </c>
      <c r="M51" s="277">
        <v>7.7000000000000011E-3</v>
      </c>
      <c r="N51" s="277">
        <v>7.7000000000000013E-2</v>
      </c>
      <c r="O51" s="307" t="s">
        <v>0</v>
      </c>
      <c r="P51" s="307" t="s">
        <v>0</v>
      </c>
      <c r="Q51" s="307" t="s">
        <v>0</v>
      </c>
      <c r="R51" s="307" t="s">
        <v>0</v>
      </c>
      <c r="S51" s="277">
        <v>2.4199999999999999E-2</v>
      </c>
      <c r="T51" s="277">
        <v>0.15400000000000003</v>
      </c>
      <c r="U51" s="277">
        <v>2.6400000000000003E-2</v>
      </c>
      <c r="V51" s="277">
        <v>0.17600000000000002</v>
      </c>
      <c r="W51" s="277">
        <v>2.035E-2</v>
      </c>
      <c r="X51" s="277">
        <v>0.12936</v>
      </c>
      <c r="Y51" s="277">
        <v>2.4199999999999999E-2</v>
      </c>
      <c r="Z51" s="277">
        <v>0.15400000000000003</v>
      </c>
      <c r="AA51" s="277">
        <v>3.7290000000000004E-2</v>
      </c>
      <c r="AB51" s="277">
        <v>0.20570000000000002</v>
      </c>
      <c r="AC51" s="277">
        <v>1.21E-2</v>
      </c>
      <c r="AD51" s="277">
        <v>0.12100000000000001</v>
      </c>
      <c r="AE51" s="277">
        <v>3.8060000000000004E-2</v>
      </c>
      <c r="AF51" s="277">
        <v>0.21384</v>
      </c>
      <c r="AG51" s="277">
        <v>2.4199999999999999E-2</v>
      </c>
      <c r="AH51" s="277">
        <v>0.15840000000000001</v>
      </c>
      <c r="AI51" s="277">
        <v>2.6400000000000003E-2</v>
      </c>
      <c r="AJ51" s="277">
        <v>0.17600000000000002</v>
      </c>
      <c r="AK51" s="277">
        <v>2.4199999999999999E-2</v>
      </c>
      <c r="AL51" s="277">
        <v>0.15840000000000001</v>
      </c>
      <c r="AM51" s="278" t="s">
        <v>259</v>
      </c>
      <c r="AN51" s="278" t="s">
        <v>259</v>
      </c>
      <c r="AO51" s="280" t="s">
        <v>259</v>
      </c>
      <c r="AP51" s="280" t="s">
        <v>259</v>
      </c>
      <c r="AQ51" s="276" t="s">
        <v>259</v>
      </c>
      <c r="AR51" s="280" t="s">
        <v>259</v>
      </c>
      <c r="AS51" s="276" t="s">
        <v>259</v>
      </c>
      <c r="AT51" s="280" t="s">
        <v>259</v>
      </c>
      <c r="AU51" s="274">
        <f>[2]Data!AU47</f>
        <v>410802</v>
      </c>
      <c r="AV51" s="274" t="str">
        <f>[2]Data!AV47</f>
        <v>3 x 5,000 Staples</v>
      </c>
      <c r="AW51" s="274">
        <f>[2]Data!AW47</f>
        <v>75.900000000000006</v>
      </c>
      <c r="AX51" s="274" t="str">
        <f>[2]Data!AX47</f>
        <v>NOt Applicable</v>
      </c>
      <c r="AY51" s="274" t="str">
        <f>[2]Data!AY47</f>
        <v>N/A</v>
      </c>
      <c r="AZ51" s="274">
        <f>[2]Data!AZ47</f>
        <v>0</v>
      </c>
      <c r="BA51" s="274">
        <f>[2]Data!BA47</f>
        <v>0</v>
      </c>
      <c r="BB51" s="274">
        <f>[2]Data!BB47</f>
        <v>1163.9100000000001</v>
      </c>
      <c r="BC51" s="274">
        <f>[2]Data!BC47</f>
        <v>1163.9100000000001</v>
      </c>
      <c r="BD51" s="274">
        <f>[2]Data!BD47</f>
        <v>1163.9100000000001</v>
      </c>
      <c r="BE51" s="274">
        <f>[2]Data!BE47</f>
        <v>1013.2100000000002</v>
      </c>
      <c r="BF51" s="274">
        <f>[2]Data!BF47</f>
        <v>1933.91</v>
      </c>
      <c r="BG51" s="274">
        <f>[2]Data!BG47</f>
        <v>1163.9100000000001</v>
      </c>
      <c r="BH51" s="274">
        <f>[2]Data!BH47</f>
        <v>2043.91</v>
      </c>
      <c r="BI51" s="274">
        <f>[2]Data!BI47</f>
        <v>1108.9100000000001</v>
      </c>
      <c r="BJ51" s="274">
        <f>[2]Data!BJ47</f>
        <v>1163.9100000000001</v>
      </c>
      <c r="BK51" s="274">
        <f>[2]Data!BK47</f>
        <v>1108.9100000000001</v>
      </c>
      <c r="BL51" s="274" t="str">
        <f>[2]Data!BL47</f>
        <v>SRA3, A3, A4, A5, A6, B4, B5, B6</v>
      </c>
      <c r="BM51" s="274" t="str">
        <f>[2]Data!BM47</f>
        <v>Full colour: 7.1 seconds B/W: 4.6 seconds</v>
      </c>
      <c r="BN51" s="274" t="str">
        <f>[2]Data!BN47</f>
        <v>25 seconds</v>
      </c>
      <c r="BO51" s="274">
        <f>[2]Data!BO47</f>
        <v>20000</v>
      </c>
      <c r="BP51" s="274">
        <f>[2]Data!BP47</f>
        <v>1200000</v>
      </c>
      <c r="BQ51" s="274" t="str">
        <f>[2]Data!BQ47</f>
        <v>Standby 19.5 dB</v>
      </c>
      <c r="BR51" s="274" t="str">
        <f>[2]Data!BR47</f>
        <v xml:space="preserve">1,200 x 1,200 dpi </v>
      </c>
      <c r="BS51" s="274" t="str">
        <f>[2]Data!BS47</f>
        <v xml:space="preserve">600 dpi </v>
      </c>
      <c r="BT51" s="274" t="str">
        <f>[2]Data!BT47</f>
        <v>YES</v>
      </c>
      <c r="BU51" s="274" t="str">
        <f>[2]Data!BU47</f>
        <v>SRA3, A3, A4, A5, A6, B4, B5, B6</v>
      </c>
      <c r="BV51" s="274" t="str">
        <f>[2]Data!BV47</f>
        <v>60 - 300 g/m2</v>
      </c>
      <c r="BW51" s="274" t="str">
        <f>[2]Data!BW47</f>
        <v>Standard 1,200 sheets</v>
      </c>
      <c r="BX51" s="274" t="str">
        <f>[2]Data!BX47</f>
        <v xml:space="preserve"> Optional up to 4,700 Sheets</v>
      </c>
      <c r="BY51" s="274">
        <f>[2]Data!BY47</f>
        <v>100</v>
      </c>
      <c r="BZ51" s="274" t="str">
        <f>[2]Data!BZ47</f>
        <v>100 Sheets - upgradable to 220 sheets</v>
      </c>
      <c r="CA51" s="274" t="str">
        <f>[2]Data!CA47</f>
        <v>YES</v>
      </c>
      <c r="CB51" s="274" t="str">
        <f>[2]Data!CB47</f>
        <v>YES</v>
      </c>
      <c r="CC51" s="274" t="str">
        <f>[2]Data!CC47</f>
        <v>YES</v>
      </c>
      <c r="CD51" s="274" t="str">
        <f>[2]Data!CD47</f>
        <v>YES</v>
      </c>
      <c r="CE51" s="274" t="str">
        <f>[2]Data!CE47</f>
        <v>YES</v>
      </c>
      <c r="CF51" s="274" t="str">
        <f>[2]Data!CF47</f>
        <v>Maximum: 1,700 W, Ready mode: Less than 47.3 W, Sleep mode: Less than 0.93 W, TEC (Typical Electricity Consumption): 1.3 kWh</v>
      </c>
      <c r="CG51" s="274" t="str">
        <f>[2]Data!CG47</f>
        <v>60 Months under Cost Per Print Maintenance Agreement</v>
      </c>
      <c r="CH51" s="274" t="str">
        <f>[2]Data!CH47</f>
        <v>Standard : 2GB and 250GB HDD with Encryption and Data
Overwrite Security</v>
      </c>
      <c r="CI51" s="274" t="str">
        <f>[2]Data!CI47</f>
        <v>YES</v>
      </c>
      <c r="CJ51" s="274" t="str">
        <f>[2]Data!CJ47</f>
        <v>YES</v>
      </c>
      <c r="CK51" s="274" t="str">
        <f>[2]Data!CK47</f>
        <v>FTP/SMB - 2,000 Folders, Email 2,000 addresses</v>
      </c>
      <c r="CL51" s="274" t="str">
        <f>[2]Data!CL47</f>
        <v>YES</v>
      </c>
      <c r="CM51" s="274" t="str">
        <f>[2]Data!CM47</f>
        <v>YES</v>
      </c>
      <c r="CN51" s="274" t="str">
        <f>[2]Data!CN47</f>
        <v>Maximum: 1,200 dpi</v>
      </c>
      <c r="CO51" s="274" t="str">
        <f>[2]Data!CO47</f>
        <v>Standard : SD slot, USB Host Interface,
 Ethernet 10 base-T/100 base-TX/
 1000 Base-T                                Option : Wireless LAN (IEEE 802.11a/b/g/n),
 Bluetooth, USB Server for Second Network
 Interface, Bidirectional IEEE1284/ECP,
 USB 2.0 (Type B)</v>
      </c>
      <c r="CP51" s="274" t="str">
        <f>[2]Data!CP47</f>
        <v>TCP/IP (IPv4, IPv6)</v>
      </c>
      <c r="CQ51" s="274" t="str">
        <f>[2]Data!CQ47</f>
        <v>Mobile printing capability: Apple AirPrintTM
Windows® environments: Windows® Vista / 7 / 8.1 / 10,
Windows® Server 2008 / 2008R2 / 2012 / 2012R2
Mac OS environments: Macintosh OS X Native V10.9 or later
UNIX environments: UNIX Sun® Solaris, HP-UX, SCO OpenServer,
RedHat® Linux Enterprise, IBM® AIX, Citrix XenDesktop
7.0/7.1 Citrix XenApp 6.5/7.5
SAP® R/3® environments: SAP® R/3®, SAP® S/4®</v>
      </c>
      <c r="CR51" s="274" t="str">
        <f>[2]Data!CR47</f>
        <v>Standard : PCL5c, PCL6, PostScript® 3™ Languages
Emulation, PDF Direct Print Emulation
Option : Adobe® PostScript® 3™, XPS, PictBridge
 Adobe PDF Direct Print</v>
      </c>
      <c r="CS51" s="274" t="str">
        <f>[2]Data!CS47</f>
        <v>NO</v>
      </c>
      <c r="CT51" s="274" t="str">
        <f>[2]Data!CT47</f>
        <v>Circuit: PSTN, PBX
Compatibility: ITU-T (CCITT) G3, Additional G3 Option
Resolution: Standard : 8 x 3.85 line/mm, 200 x 100 dpi,
 8 x 7.7 line/mm, 200 x 200 dpi
Option : 8 x 15.4 line/mm, 16 x 15.4 line/mm,
 400 x 400 dpi (with optional SAF Memory)
Transmission speed: G3 : 2 second(s) (200 x 100 dpi, JBIG),
 3 seconds(s) (200 x 100 dpi, MMR)
Modem speed: Maximum : 33.6 Kbps
Memory capacity: Standard : 4 MB
Maximum : 64 MB</v>
      </c>
      <c r="CU51" s="25"/>
      <c r="CV51" s="200">
        <f t="shared" ref="CV51" si="11">G51</f>
        <v>418567</v>
      </c>
      <c r="CW51" s="199" t="str">
        <f t="shared" ref="CW51" si="12">C51</f>
        <v>Ricoh</v>
      </c>
      <c r="CX51" s="199" t="str">
        <f>IF(Data!D51="E","Entry",IF(Data!D51="L","Low",IF(Data!D51="M","Medium","High")))</f>
        <v>Medium</v>
      </c>
      <c r="CY51" s="206" t="str">
        <f t="shared" ref="CY51" si="13">A51&amp;IF(H51="Not Offered","N","Y")</f>
        <v>MFD-Colour_Ri_M_2Y</v>
      </c>
    </row>
    <row r="52" spans="1:103" ht="15.95" customHeight="1" x14ac:dyDescent="0.2">
      <c r="A52" s="26" t="s">
        <v>477</v>
      </c>
      <c r="B52" s="26" t="s">
        <v>402</v>
      </c>
      <c r="C52" s="27" t="s">
        <v>8</v>
      </c>
      <c r="D52" s="184" t="s">
        <v>433</v>
      </c>
      <c r="E52" s="184">
        <v>3</v>
      </c>
      <c r="F52" s="184" t="s">
        <v>156</v>
      </c>
      <c r="G52" s="27">
        <v>0</v>
      </c>
      <c r="H52" s="27" t="s">
        <v>899</v>
      </c>
      <c r="I52" s="27">
        <v>0</v>
      </c>
      <c r="J52" s="185">
        <v>0</v>
      </c>
      <c r="K52" s="185">
        <v>0</v>
      </c>
      <c r="L52" s="32">
        <v>0</v>
      </c>
      <c r="M52" s="28">
        <v>0</v>
      </c>
      <c r="N52" s="28">
        <v>0</v>
      </c>
      <c r="O52" s="28" t="s">
        <v>0</v>
      </c>
      <c r="P52" s="28" t="s">
        <v>0</v>
      </c>
      <c r="Q52" s="28" t="s">
        <v>0</v>
      </c>
      <c r="R52" s="28" t="s">
        <v>0</v>
      </c>
      <c r="S52" s="28">
        <v>0</v>
      </c>
      <c r="T52" s="28">
        <v>0</v>
      </c>
      <c r="U52" s="28">
        <v>0</v>
      </c>
      <c r="V52" s="28">
        <v>0</v>
      </c>
      <c r="W52" s="28">
        <v>0</v>
      </c>
      <c r="X52" s="28">
        <v>0</v>
      </c>
      <c r="Y52" s="28">
        <v>0</v>
      </c>
      <c r="Z52" s="28">
        <v>0</v>
      </c>
      <c r="AA52" s="28">
        <v>0</v>
      </c>
      <c r="AB52" s="28">
        <v>0</v>
      </c>
      <c r="AC52" s="28">
        <v>0</v>
      </c>
      <c r="AD52" s="28">
        <v>0</v>
      </c>
      <c r="AE52" s="28">
        <v>0</v>
      </c>
      <c r="AF52" s="28">
        <v>0</v>
      </c>
      <c r="AG52" s="28">
        <v>0</v>
      </c>
      <c r="AH52" s="28">
        <v>0</v>
      </c>
      <c r="AI52" s="28">
        <v>0</v>
      </c>
      <c r="AJ52" s="28">
        <v>0</v>
      </c>
      <c r="AK52" s="28">
        <v>0</v>
      </c>
      <c r="AL52" s="28">
        <v>0</v>
      </c>
      <c r="AM52" s="30">
        <v>0</v>
      </c>
      <c r="AN52" s="30">
        <v>0</v>
      </c>
      <c r="AO52" s="32">
        <v>0</v>
      </c>
      <c r="AP52" s="32">
        <v>0</v>
      </c>
      <c r="AQ52" s="32">
        <v>0</v>
      </c>
      <c r="AR52" s="32">
        <v>0</v>
      </c>
      <c r="AS52" s="32">
        <v>0</v>
      </c>
      <c r="AT52" s="32">
        <v>0</v>
      </c>
      <c r="AU52" s="30">
        <v>0</v>
      </c>
      <c r="AV52" s="31">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0">
        <v>0</v>
      </c>
      <c r="BM52" s="30">
        <v>0</v>
      </c>
      <c r="BN52" s="30">
        <v>0</v>
      </c>
      <c r="BO52" s="31">
        <v>0</v>
      </c>
      <c r="BP52" s="31">
        <v>0</v>
      </c>
      <c r="BQ52" s="30">
        <v>0</v>
      </c>
      <c r="BR52" s="30">
        <v>0</v>
      </c>
      <c r="BS52" s="30">
        <v>0</v>
      </c>
      <c r="BT52" s="30">
        <v>0</v>
      </c>
      <c r="BU52" s="30">
        <v>0</v>
      </c>
      <c r="BV52" s="30">
        <v>0</v>
      </c>
      <c r="BW52" s="30">
        <v>0</v>
      </c>
      <c r="BX52" s="30">
        <v>0</v>
      </c>
      <c r="BY52" s="30">
        <v>0</v>
      </c>
      <c r="BZ52" s="30">
        <v>0</v>
      </c>
      <c r="CA52" s="30">
        <v>0</v>
      </c>
      <c r="CB52" s="30">
        <v>0</v>
      </c>
      <c r="CC52" s="30">
        <v>0</v>
      </c>
      <c r="CD52" s="30">
        <v>0</v>
      </c>
      <c r="CE52" s="30">
        <v>0</v>
      </c>
      <c r="CF52" s="30">
        <v>0</v>
      </c>
      <c r="CG52" s="30">
        <v>0</v>
      </c>
      <c r="CH52" s="30">
        <v>0</v>
      </c>
      <c r="CI52" s="30">
        <v>0</v>
      </c>
      <c r="CJ52" s="30">
        <v>0</v>
      </c>
      <c r="CK52" s="30">
        <v>0</v>
      </c>
      <c r="CL52" s="30">
        <v>0</v>
      </c>
      <c r="CM52" s="30">
        <v>0</v>
      </c>
      <c r="CN52" s="30">
        <v>0</v>
      </c>
      <c r="CO52" s="30">
        <v>0</v>
      </c>
      <c r="CP52" s="30">
        <v>0</v>
      </c>
      <c r="CQ52" s="30">
        <v>0</v>
      </c>
      <c r="CR52" s="30">
        <v>0</v>
      </c>
      <c r="CS52" s="30">
        <v>0</v>
      </c>
      <c r="CT52" s="30">
        <v>0</v>
      </c>
      <c r="CU52" s="26">
        <v>0</v>
      </c>
      <c r="CV52" s="27">
        <f t="shared" si="5"/>
        <v>0</v>
      </c>
      <c r="CW52" s="186" t="str">
        <f t="shared" si="6"/>
        <v>Ricoh</v>
      </c>
      <c r="CX52" s="186" t="str">
        <f>IF(Data!D52="E","Entry",IF(Data!D52="L","Low",IF(Data!D52="M","Medium","High")))</f>
        <v>Medium</v>
      </c>
      <c r="CY52" s="187" t="str">
        <f t="shared" si="7"/>
        <v>MFD-Colour_Ri_M_3N</v>
      </c>
    </row>
    <row r="53" spans="1:103" ht="15.95" customHeight="1" x14ac:dyDescent="0.2">
      <c r="A53" s="26" t="s">
        <v>478</v>
      </c>
      <c r="B53" s="26" t="s">
        <v>402</v>
      </c>
      <c r="C53" s="27" t="s">
        <v>8</v>
      </c>
      <c r="D53" s="184" t="s">
        <v>433</v>
      </c>
      <c r="E53" s="184">
        <v>4</v>
      </c>
      <c r="F53" s="184" t="s">
        <v>156</v>
      </c>
      <c r="G53" s="27">
        <v>0</v>
      </c>
      <c r="H53" s="27" t="s">
        <v>899</v>
      </c>
      <c r="I53" s="27">
        <v>0</v>
      </c>
      <c r="J53" s="185">
        <v>0</v>
      </c>
      <c r="K53" s="185">
        <v>0</v>
      </c>
      <c r="L53" s="32">
        <v>0</v>
      </c>
      <c r="M53" s="28">
        <v>0</v>
      </c>
      <c r="N53" s="28">
        <v>0</v>
      </c>
      <c r="O53" s="28" t="s">
        <v>0</v>
      </c>
      <c r="P53" s="28" t="s">
        <v>0</v>
      </c>
      <c r="Q53" s="28" t="s">
        <v>0</v>
      </c>
      <c r="R53" s="28" t="s">
        <v>0</v>
      </c>
      <c r="S53" s="28">
        <v>0</v>
      </c>
      <c r="T53" s="28">
        <v>0</v>
      </c>
      <c r="U53" s="28">
        <v>0</v>
      </c>
      <c r="V53" s="28">
        <v>0</v>
      </c>
      <c r="W53" s="28">
        <v>0</v>
      </c>
      <c r="X53" s="28">
        <v>0</v>
      </c>
      <c r="Y53" s="28">
        <v>0</v>
      </c>
      <c r="Z53" s="28">
        <v>0</v>
      </c>
      <c r="AA53" s="28">
        <v>0</v>
      </c>
      <c r="AB53" s="28">
        <v>0</v>
      </c>
      <c r="AC53" s="28">
        <v>0</v>
      </c>
      <c r="AD53" s="28">
        <v>0</v>
      </c>
      <c r="AE53" s="28">
        <v>0</v>
      </c>
      <c r="AF53" s="28">
        <v>0</v>
      </c>
      <c r="AG53" s="28">
        <v>0</v>
      </c>
      <c r="AH53" s="28">
        <v>0</v>
      </c>
      <c r="AI53" s="28">
        <v>0</v>
      </c>
      <c r="AJ53" s="28">
        <v>0</v>
      </c>
      <c r="AK53" s="28">
        <v>0</v>
      </c>
      <c r="AL53" s="28">
        <v>0</v>
      </c>
      <c r="AM53" s="30">
        <v>0</v>
      </c>
      <c r="AN53" s="30">
        <v>0</v>
      </c>
      <c r="AO53" s="32">
        <v>0</v>
      </c>
      <c r="AP53" s="32">
        <v>0</v>
      </c>
      <c r="AQ53" s="32">
        <v>0</v>
      </c>
      <c r="AR53" s="32">
        <v>0</v>
      </c>
      <c r="AS53" s="32">
        <v>0</v>
      </c>
      <c r="AT53" s="32">
        <v>0</v>
      </c>
      <c r="AU53" s="30">
        <v>0</v>
      </c>
      <c r="AV53" s="31">
        <v>0</v>
      </c>
      <c r="AW53" s="32">
        <v>0</v>
      </c>
      <c r="AX53" s="32">
        <v>0</v>
      </c>
      <c r="AY53" s="32">
        <v>0</v>
      </c>
      <c r="AZ53" s="32">
        <v>0</v>
      </c>
      <c r="BA53" s="32">
        <v>0</v>
      </c>
      <c r="BB53" s="32">
        <v>0</v>
      </c>
      <c r="BC53" s="32">
        <v>0</v>
      </c>
      <c r="BD53" s="32">
        <v>0</v>
      </c>
      <c r="BE53" s="32">
        <v>0</v>
      </c>
      <c r="BF53" s="32">
        <v>0</v>
      </c>
      <c r="BG53" s="32">
        <v>0</v>
      </c>
      <c r="BH53" s="32">
        <v>0</v>
      </c>
      <c r="BI53" s="32">
        <v>0</v>
      </c>
      <c r="BJ53" s="32">
        <v>0</v>
      </c>
      <c r="BK53" s="32">
        <v>0</v>
      </c>
      <c r="BL53" s="30">
        <v>0</v>
      </c>
      <c r="BM53" s="30">
        <v>0</v>
      </c>
      <c r="BN53" s="30">
        <v>0</v>
      </c>
      <c r="BO53" s="31">
        <v>0</v>
      </c>
      <c r="BP53" s="31">
        <v>0</v>
      </c>
      <c r="BQ53" s="30">
        <v>0</v>
      </c>
      <c r="BR53" s="30">
        <v>0</v>
      </c>
      <c r="BS53" s="30">
        <v>0</v>
      </c>
      <c r="BT53" s="30">
        <v>0</v>
      </c>
      <c r="BU53" s="30">
        <v>0</v>
      </c>
      <c r="BV53" s="30">
        <v>0</v>
      </c>
      <c r="BW53" s="30">
        <v>0</v>
      </c>
      <c r="BX53" s="30">
        <v>0</v>
      </c>
      <c r="BY53" s="30">
        <v>0</v>
      </c>
      <c r="BZ53" s="30">
        <v>0</v>
      </c>
      <c r="CA53" s="30">
        <v>0</v>
      </c>
      <c r="CB53" s="30">
        <v>0</v>
      </c>
      <c r="CC53" s="30">
        <v>0</v>
      </c>
      <c r="CD53" s="30">
        <v>0</v>
      </c>
      <c r="CE53" s="30">
        <v>0</v>
      </c>
      <c r="CF53" s="30">
        <v>0</v>
      </c>
      <c r="CG53" s="30">
        <v>0</v>
      </c>
      <c r="CH53" s="30">
        <v>0</v>
      </c>
      <c r="CI53" s="30">
        <v>0</v>
      </c>
      <c r="CJ53" s="30">
        <v>0</v>
      </c>
      <c r="CK53" s="30">
        <v>0</v>
      </c>
      <c r="CL53" s="30">
        <v>0</v>
      </c>
      <c r="CM53" s="30">
        <v>0</v>
      </c>
      <c r="CN53" s="30">
        <v>0</v>
      </c>
      <c r="CO53" s="30">
        <v>0</v>
      </c>
      <c r="CP53" s="30">
        <v>0</v>
      </c>
      <c r="CQ53" s="30">
        <v>0</v>
      </c>
      <c r="CR53" s="30">
        <v>0</v>
      </c>
      <c r="CS53" s="30">
        <v>0</v>
      </c>
      <c r="CT53" s="30">
        <v>0</v>
      </c>
      <c r="CU53" s="26">
        <v>0</v>
      </c>
      <c r="CV53" s="27">
        <f t="shared" si="5"/>
        <v>0</v>
      </c>
      <c r="CW53" s="186" t="str">
        <f t="shared" si="6"/>
        <v>Ricoh</v>
      </c>
      <c r="CX53" s="186" t="str">
        <f>IF(Data!D53="E","Entry",IF(Data!D53="L","Low",IF(Data!D53="M","Medium","High")))</f>
        <v>Medium</v>
      </c>
      <c r="CY53" s="187" t="str">
        <f t="shared" si="7"/>
        <v>MFD-Colour_Ri_M_4N</v>
      </c>
    </row>
    <row r="54" spans="1:103" ht="15.95" customHeight="1" x14ac:dyDescent="0.2">
      <c r="A54" s="25" t="s">
        <v>479</v>
      </c>
      <c r="B54" s="25" t="s">
        <v>402</v>
      </c>
      <c r="C54" s="200" t="s">
        <v>8</v>
      </c>
      <c r="D54" s="203" t="s">
        <v>432</v>
      </c>
      <c r="E54" s="203">
        <v>1</v>
      </c>
      <c r="F54" s="203" t="s">
        <v>157</v>
      </c>
      <c r="G54" s="200">
        <v>418326</v>
      </c>
      <c r="H54" s="200" t="s">
        <v>2152</v>
      </c>
      <c r="I54" s="200">
        <v>60</v>
      </c>
      <c r="J54" s="201">
        <v>3000000</v>
      </c>
      <c r="K54" s="201">
        <v>50000</v>
      </c>
      <c r="L54" s="208">
        <v>6206.1120000000001</v>
      </c>
      <c r="M54" s="236">
        <v>5.5000000000000005E-3</v>
      </c>
      <c r="N54" s="236">
        <v>5.5000000000000007E-2</v>
      </c>
      <c r="O54" s="236" t="s">
        <v>0</v>
      </c>
      <c r="P54" s="236" t="s">
        <v>0</v>
      </c>
      <c r="Q54" s="236" t="s">
        <v>0</v>
      </c>
      <c r="R54" s="236" t="s">
        <v>0</v>
      </c>
      <c r="S54" s="236">
        <v>1.1000000000000001E-2</v>
      </c>
      <c r="T54" s="236">
        <v>0.11000000000000001</v>
      </c>
      <c r="U54" s="236">
        <v>1.7600000000000001E-2</v>
      </c>
      <c r="V54" s="236">
        <v>0.15400000000000003</v>
      </c>
      <c r="W54" s="236">
        <v>9.3500000000000007E-3</v>
      </c>
      <c r="X54" s="236">
        <v>6.4460000000000003E-2</v>
      </c>
      <c r="Y54" s="236">
        <v>9.9000000000000008E-3</v>
      </c>
      <c r="Z54" s="236">
        <v>7.4029999999999999E-2</v>
      </c>
      <c r="AA54" s="236">
        <v>1.7600000000000001E-2</v>
      </c>
      <c r="AB54" s="236">
        <v>0.13200000000000001</v>
      </c>
      <c r="AC54" s="236">
        <v>1.1000000000000001E-2</v>
      </c>
      <c r="AD54" s="236">
        <v>0.11000000000000001</v>
      </c>
      <c r="AE54" s="236">
        <v>1.6500000000000001E-2</v>
      </c>
      <c r="AF54" s="236">
        <v>0.12100000000000001</v>
      </c>
      <c r="AG54" s="236">
        <v>2.0900000000000002E-2</v>
      </c>
      <c r="AH54" s="236">
        <v>0.12100000000000001</v>
      </c>
      <c r="AI54" s="236">
        <v>1.7600000000000001E-2</v>
      </c>
      <c r="AJ54" s="236">
        <v>0.15400000000000003</v>
      </c>
      <c r="AK54" s="236">
        <v>2.0900000000000002E-2</v>
      </c>
      <c r="AL54" s="236">
        <v>0.12100000000000001</v>
      </c>
      <c r="AM54" s="207" t="s">
        <v>259</v>
      </c>
      <c r="AN54" s="207" t="s">
        <v>259</v>
      </c>
      <c r="AO54" s="208" t="s">
        <v>259</v>
      </c>
      <c r="AP54" s="208" t="s">
        <v>259</v>
      </c>
      <c r="AQ54" s="208" t="s">
        <v>259</v>
      </c>
      <c r="AR54" s="208" t="s">
        <v>259</v>
      </c>
      <c r="AS54" s="208" t="s">
        <v>259</v>
      </c>
      <c r="AT54" s="208" t="s">
        <v>259</v>
      </c>
      <c r="AU54" s="207">
        <v>410802</v>
      </c>
      <c r="AV54" s="239" t="s">
        <v>260</v>
      </c>
      <c r="AW54" s="208">
        <v>75.900000000000006</v>
      </c>
      <c r="AX54" s="208" t="s">
        <v>1760</v>
      </c>
      <c r="AY54" s="208" t="s">
        <v>0</v>
      </c>
      <c r="AZ54" s="208">
        <v>0</v>
      </c>
      <c r="BA54" s="208">
        <v>0</v>
      </c>
      <c r="BB54" s="208">
        <v>1344.64</v>
      </c>
      <c r="BC54" s="208">
        <v>1344.64</v>
      </c>
      <c r="BD54" s="208">
        <v>1344.64</v>
      </c>
      <c r="BE54" s="208">
        <v>1193.9400000000003</v>
      </c>
      <c r="BF54" s="208">
        <v>2774.6400000000003</v>
      </c>
      <c r="BG54" s="208">
        <v>1344.64</v>
      </c>
      <c r="BH54" s="208">
        <v>2554.6400000000003</v>
      </c>
      <c r="BI54" s="208">
        <v>1289.6400000000001</v>
      </c>
      <c r="BJ54" s="208">
        <v>1344.6399999999999</v>
      </c>
      <c r="BK54" s="208">
        <v>1289.6400000000001</v>
      </c>
      <c r="BL54" s="207" t="s">
        <v>262</v>
      </c>
      <c r="BM54" s="207" t="s">
        <v>268</v>
      </c>
      <c r="BN54" s="207" t="s">
        <v>273</v>
      </c>
      <c r="BO54" s="239">
        <v>50000</v>
      </c>
      <c r="BP54" s="239">
        <v>300000</v>
      </c>
      <c r="BQ54" s="207" t="s">
        <v>278</v>
      </c>
      <c r="BR54" s="207" t="s">
        <v>281</v>
      </c>
      <c r="BS54" s="207" t="s">
        <v>284</v>
      </c>
      <c r="BT54" s="207" t="s">
        <v>2</v>
      </c>
      <c r="BU54" s="207" t="s">
        <v>262</v>
      </c>
      <c r="BV54" s="207" t="s">
        <v>286</v>
      </c>
      <c r="BW54" s="207" t="s">
        <v>289</v>
      </c>
      <c r="BX54" s="207" t="s">
        <v>293</v>
      </c>
      <c r="BY54" s="207">
        <v>100</v>
      </c>
      <c r="BZ54" s="207" t="s">
        <v>296</v>
      </c>
      <c r="CA54" s="207" t="s">
        <v>2</v>
      </c>
      <c r="CB54" s="207" t="s">
        <v>2</v>
      </c>
      <c r="CC54" s="207" t="s">
        <v>2</v>
      </c>
      <c r="CD54" s="207" t="s">
        <v>2</v>
      </c>
      <c r="CE54" s="207" t="s">
        <v>2</v>
      </c>
      <c r="CF54" s="207" t="s">
        <v>304</v>
      </c>
      <c r="CG54" s="207" t="s">
        <v>307</v>
      </c>
      <c r="CH54" s="207" t="s">
        <v>310</v>
      </c>
      <c r="CI54" s="207" t="s">
        <v>2</v>
      </c>
      <c r="CJ54" s="207" t="s">
        <v>2</v>
      </c>
      <c r="CK54" s="207" t="s">
        <v>312</v>
      </c>
      <c r="CL54" s="207" t="s">
        <v>2</v>
      </c>
      <c r="CM54" s="207" t="s">
        <v>2</v>
      </c>
      <c r="CN54" s="207" t="s">
        <v>314</v>
      </c>
      <c r="CO54" s="207" t="s">
        <v>317</v>
      </c>
      <c r="CP54" s="207" t="s">
        <v>320</v>
      </c>
      <c r="CQ54" s="207" t="s">
        <v>323</v>
      </c>
      <c r="CR54" s="207" t="s">
        <v>326</v>
      </c>
      <c r="CS54" s="207" t="s">
        <v>3</v>
      </c>
      <c r="CT54" s="207" t="s">
        <v>329</v>
      </c>
      <c r="CU54" s="25">
        <v>0</v>
      </c>
      <c r="CV54" s="200">
        <f t="shared" si="5"/>
        <v>418326</v>
      </c>
      <c r="CW54" s="199" t="str">
        <f t="shared" si="6"/>
        <v>Ricoh</v>
      </c>
      <c r="CX54" s="199" t="str">
        <f>IF(Data!D54="E","Entry",IF(Data!D54="L","Low",IF(Data!D54="M","Medium","High")))</f>
        <v>High</v>
      </c>
      <c r="CY54" s="206" t="str">
        <f t="shared" si="7"/>
        <v>MFD-Colour_Ri_H_1Y</v>
      </c>
    </row>
    <row r="55" spans="1:103" ht="15.95" customHeight="1" x14ac:dyDescent="0.2">
      <c r="A55" s="26" t="s">
        <v>480</v>
      </c>
      <c r="B55" s="26" t="s">
        <v>402</v>
      </c>
      <c r="C55" s="27" t="s">
        <v>8</v>
      </c>
      <c r="D55" s="184" t="s">
        <v>432</v>
      </c>
      <c r="E55" s="184">
        <v>2</v>
      </c>
      <c r="F55" s="184" t="s">
        <v>157</v>
      </c>
      <c r="G55" s="200">
        <v>418170</v>
      </c>
      <c r="H55" s="200" t="s">
        <v>2062</v>
      </c>
      <c r="I55" s="27">
        <v>65</v>
      </c>
      <c r="J55" s="185">
        <v>9000000</v>
      </c>
      <c r="K55" s="185">
        <v>150000</v>
      </c>
      <c r="L55" s="208">
        <v>12355.2</v>
      </c>
      <c r="M55" s="28">
        <v>5.5000000000000005E-3</v>
      </c>
      <c r="N55" s="28">
        <v>5.5000000000000007E-2</v>
      </c>
      <c r="O55" s="28" t="s">
        <v>0</v>
      </c>
      <c r="P55" s="28" t="s">
        <v>0</v>
      </c>
      <c r="Q55" s="28" t="s">
        <v>0</v>
      </c>
      <c r="R55" s="28" t="s">
        <v>0</v>
      </c>
      <c r="S55" s="236">
        <v>1.1000000000000001E-2</v>
      </c>
      <c r="T55" s="28">
        <v>0.11000000000000001</v>
      </c>
      <c r="U55" s="28">
        <v>1.7600000000000001E-2</v>
      </c>
      <c r="V55" s="28">
        <v>0.15400000000000003</v>
      </c>
      <c r="W55" s="28">
        <v>1.3310000000000001E-2</v>
      </c>
      <c r="X55" s="28">
        <v>8.5250000000000006E-2</v>
      </c>
      <c r="Y55" s="236">
        <v>1.3200000000000002E-2</v>
      </c>
      <c r="Z55" s="236">
        <v>8.0520000000000008E-2</v>
      </c>
      <c r="AA55" s="236">
        <v>1.9800000000000002E-2</v>
      </c>
      <c r="AB55" s="236">
        <v>0.13200000000000001</v>
      </c>
      <c r="AC55" s="28">
        <v>1.1000000000000001E-2</v>
      </c>
      <c r="AD55" s="28">
        <v>0.11000000000000001</v>
      </c>
      <c r="AE55" s="236">
        <v>1.7270000000000001E-2</v>
      </c>
      <c r="AF55" s="236">
        <v>0.1188</v>
      </c>
      <c r="AG55" s="236">
        <v>2.0900000000000002E-2</v>
      </c>
      <c r="AH55" s="236">
        <v>0.12100000000000001</v>
      </c>
      <c r="AI55" s="28">
        <v>1.7600000000000001E-2</v>
      </c>
      <c r="AJ55" s="28">
        <v>0.15400000000000003</v>
      </c>
      <c r="AK55" s="236">
        <v>2.0900000000000002E-2</v>
      </c>
      <c r="AL55" s="236">
        <v>0.12100000000000001</v>
      </c>
      <c r="AM55" s="30" t="s">
        <v>259</v>
      </c>
      <c r="AN55" s="30" t="s">
        <v>259</v>
      </c>
      <c r="AO55" s="32" t="s">
        <v>259</v>
      </c>
      <c r="AP55" s="32" t="s">
        <v>259</v>
      </c>
      <c r="AQ55" s="32" t="s">
        <v>259</v>
      </c>
      <c r="AR55" s="32" t="s">
        <v>259</v>
      </c>
      <c r="AS55" s="32" t="s">
        <v>259</v>
      </c>
      <c r="AT55" s="32" t="s">
        <v>259</v>
      </c>
      <c r="AU55" s="30">
        <v>410509</v>
      </c>
      <c r="AV55" s="31" t="s">
        <v>261</v>
      </c>
      <c r="AW55" s="32">
        <v>259.60000000000002</v>
      </c>
      <c r="AX55" s="32" t="s">
        <v>1760</v>
      </c>
      <c r="AY55" s="32" t="s">
        <v>0</v>
      </c>
      <c r="AZ55" s="32">
        <v>0</v>
      </c>
      <c r="BA55" s="32">
        <v>0</v>
      </c>
      <c r="BB55" s="208">
        <v>2024.0000000000002</v>
      </c>
      <c r="BC55" s="208">
        <v>2024.0000000000002</v>
      </c>
      <c r="BD55" s="208">
        <v>2024.0000000000002</v>
      </c>
      <c r="BE55" s="208">
        <v>1831.5000000000002</v>
      </c>
      <c r="BF55" s="208">
        <v>3344.0000000000005</v>
      </c>
      <c r="BG55" s="208">
        <v>2024.0000000000002</v>
      </c>
      <c r="BH55" s="208">
        <v>3564.0000000000005</v>
      </c>
      <c r="BI55" s="208">
        <v>1969.0000000000002</v>
      </c>
      <c r="BJ55" s="32">
        <v>2024</v>
      </c>
      <c r="BK55" s="208">
        <v>1969.0000000000002</v>
      </c>
      <c r="BL55" s="30" t="s">
        <v>262</v>
      </c>
      <c r="BM55" s="30" t="s">
        <v>269</v>
      </c>
      <c r="BN55" s="30" t="s">
        <v>274</v>
      </c>
      <c r="BO55" s="30">
        <v>150</v>
      </c>
      <c r="BP55" s="31">
        <v>9000000</v>
      </c>
      <c r="BQ55" s="30" t="s">
        <v>279</v>
      </c>
      <c r="BR55" s="30" t="s">
        <v>283</v>
      </c>
      <c r="BS55" s="30" t="s">
        <v>284</v>
      </c>
      <c r="BT55" s="30" t="s">
        <v>2</v>
      </c>
      <c r="BU55" s="30" t="s">
        <v>262</v>
      </c>
      <c r="BV55" s="30" t="s">
        <v>288</v>
      </c>
      <c r="BW55" s="30" t="s">
        <v>291</v>
      </c>
      <c r="BX55" s="30" t="s">
        <v>295</v>
      </c>
      <c r="BY55" s="30">
        <v>100</v>
      </c>
      <c r="BZ55" s="30" t="s">
        <v>298</v>
      </c>
      <c r="CA55" s="30" t="s">
        <v>2</v>
      </c>
      <c r="CB55" s="30" t="s">
        <v>2</v>
      </c>
      <c r="CC55" s="30" t="s">
        <v>2</v>
      </c>
      <c r="CD55" s="30" t="s">
        <v>2</v>
      </c>
      <c r="CE55" s="30" t="s">
        <v>2</v>
      </c>
      <c r="CF55" s="30" t="s">
        <v>305</v>
      </c>
      <c r="CG55" s="30" t="s">
        <v>307</v>
      </c>
      <c r="CH55" s="30" t="s">
        <v>311</v>
      </c>
      <c r="CI55" s="30" t="s">
        <v>2</v>
      </c>
      <c r="CJ55" s="30" t="s">
        <v>2</v>
      </c>
      <c r="CK55" s="30" t="s">
        <v>312</v>
      </c>
      <c r="CL55" s="30" t="s">
        <v>2</v>
      </c>
      <c r="CM55" s="30" t="s">
        <v>2</v>
      </c>
      <c r="CN55" s="30" t="s">
        <v>316</v>
      </c>
      <c r="CO55" s="30" t="s">
        <v>319</v>
      </c>
      <c r="CP55" s="30" t="s">
        <v>322</v>
      </c>
      <c r="CQ55" s="30" t="s">
        <v>325</v>
      </c>
      <c r="CR55" s="30" t="s">
        <v>328</v>
      </c>
      <c r="CS55" s="30" t="s">
        <v>3</v>
      </c>
      <c r="CT55" s="30" t="s">
        <v>330</v>
      </c>
      <c r="CU55" s="26">
        <v>0</v>
      </c>
      <c r="CV55" s="27">
        <f t="shared" si="5"/>
        <v>418170</v>
      </c>
      <c r="CW55" s="186" t="str">
        <f t="shared" si="6"/>
        <v>Ricoh</v>
      </c>
      <c r="CX55" s="186" t="str">
        <f>IF(Data!D55="E","Entry",IF(Data!D55="L","Low",IF(Data!D55="M","Medium","High")))</f>
        <v>High</v>
      </c>
      <c r="CY55" s="187" t="str">
        <f t="shared" si="7"/>
        <v>MFD-Colour_Ri_H_2Y</v>
      </c>
    </row>
    <row r="56" spans="1:103" ht="15.95" customHeight="1" x14ac:dyDescent="0.2">
      <c r="A56" s="26" t="s">
        <v>481</v>
      </c>
      <c r="B56" s="26" t="s">
        <v>402</v>
      </c>
      <c r="C56" s="27" t="s">
        <v>8</v>
      </c>
      <c r="D56" s="184" t="s">
        <v>432</v>
      </c>
      <c r="E56" s="184">
        <v>3</v>
      </c>
      <c r="F56" s="184" t="s">
        <v>157</v>
      </c>
      <c r="G56" s="200">
        <v>418176</v>
      </c>
      <c r="H56" s="200" t="s">
        <v>2063</v>
      </c>
      <c r="I56" s="27">
        <v>80</v>
      </c>
      <c r="J56" s="185">
        <v>9000000</v>
      </c>
      <c r="K56" s="185">
        <v>150000</v>
      </c>
      <c r="L56" s="208">
        <v>13420.836000000001</v>
      </c>
      <c r="M56" s="28">
        <v>5.5000000000000005E-3</v>
      </c>
      <c r="N56" s="28">
        <v>5.5000000000000007E-2</v>
      </c>
      <c r="O56" s="28" t="s">
        <v>0</v>
      </c>
      <c r="P56" s="28" t="s">
        <v>0</v>
      </c>
      <c r="Q56" s="28" t="s">
        <v>0</v>
      </c>
      <c r="R56" s="28" t="s">
        <v>0</v>
      </c>
      <c r="S56" s="236">
        <v>1.1000000000000001E-2</v>
      </c>
      <c r="T56" s="28">
        <v>0.11000000000000001</v>
      </c>
      <c r="U56" s="28">
        <v>1.7600000000000001E-2</v>
      </c>
      <c r="V56" s="28">
        <v>0.15400000000000003</v>
      </c>
      <c r="W56" s="28">
        <v>1.298E-2</v>
      </c>
      <c r="X56" s="28">
        <v>7.0290000000000005E-2</v>
      </c>
      <c r="Y56" s="236">
        <v>9.3500000000000007E-3</v>
      </c>
      <c r="Z56" s="236">
        <v>7.1500000000000008E-2</v>
      </c>
      <c r="AA56" s="236">
        <v>1.5400000000000002E-2</v>
      </c>
      <c r="AB56" s="236">
        <v>0.12100000000000001</v>
      </c>
      <c r="AC56" s="28">
        <v>1.1000000000000001E-2</v>
      </c>
      <c r="AD56" s="28">
        <v>0.11000000000000001</v>
      </c>
      <c r="AE56" s="236">
        <v>1.6500000000000001E-2</v>
      </c>
      <c r="AF56" s="236">
        <v>0.1188</v>
      </c>
      <c r="AG56" s="236">
        <v>2.0900000000000002E-2</v>
      </c>
      <c r="AH56" s="236">
        <v>0.12100000000000001</v>
      </c>
      <c r="AI56" s="28">
        <v>1.7600000000000001E-2</v>
      </c>
      <c r="AJ56" s="28">
        <v>0.15400000000000003</v>
      </c>
      <c r="AK56" s="236">
        <v>2.0900000000000002E-2</v>
      </c>
      <c r="AL56" s="236">
        <v>0.12100000000000001</v>
      </c>
      <c r="AM56" s="30" t="s">
        <v>259</v>
      </c>
      <c r="AN56" s="30" t="s">
        <v>259</v>
      </c>
      <c r="AO56" s="32" t="s">
        <v>259</v>
      </c>
      <c r="AP56" s="32" t="s">
        <v>259</v>
      </c>
      <c r="AQ56" s="32" t="s">
        <v>259</v>
      </c>
      <c r="AR56" s="32" t="s">
        <v>259</v>
      </c>
      <c r="AS56" s="32" t="s">
        <v>259</v>
      </c>
      <c r="AT56" s="32" t="s">
        <v>259</v>
      </c>
      <c r="AU56" s="30">
        <v>410509</v>
      </c>
      <c r="AV56" s="31" t="s">
        <v>261</v>
      </c>
      <c r="AW56" s="32">
        <v>259.60000000000002</v>
      </c>
      <c r="AX56" s="32" t="s">
        <v>1760</v>
      </c>
      <c r="AY56" s="32" t="s">
        <v>0</v>
      </c>
      <c r="AZ56" s="32">
        <v>0</v>
      </c>
      <c r="BA56" s="32">
        <v>0</v>
      </c>
      <c r="BB56" s="208">
        <v>2122.67</v>
      </c>
      <c r="BC56" s="208">
        <v>2122.67</v>
      </c>
      <c r="BD56" s="208">
        <v>2122.67</v>
      </c>
      <c r="BE56" s="208">
        <v>1930.1700000000003</v>
      </c>
      <c r="BF56" s="208">
        <v>3552.67</v>
      </c>
      <c r="BG56" s="208">
        <v>2122.67</v>
      </c>
      <c r="BH56" s="208">
        <v>3662.67</v>
      </c>
      <c r="BI56" s="208">
        <v>2067.67</v>
      </c>
      <c r="BJ56" s="32">
        <v>2122.67</v>
      </c>
      <c r="BK56" s="208">
        <v>2067.67</v>
      </c>
      <c r="BL56" s="30" t="s">
        <v>262</v>
      </c>
      <c r="BM56" s="30" t="s">
        <v>270</v>
      </c>
      <c r="BN56" s="30" t="s">
        <v>274</v>
      </c>
      <c r="BO56" s="30">
        <v>150</v>
      </c>
      <c r="BP56" s="31">
        <v>9000000</v>
      </c>
      <c r="BQ56" s="30" t="s">
        <v>280</v>
      </c>
      <c r="BR56" s="30" t="s">
        <v>283</v>
      </c>
      <c r="BS56" s="30" t="s">
        <v>284</v>
      </c>
      <c r="BT56" s="30" t="s">
        <v>2</v>
      </c>
      <c r="BU56" s="30" t="s">
        <v>262</v>
      </c>
      <c r="BV56" s="30" t="s">
        <v>288</v>
      </c>
      <c r="BW56" s="30" t="s">
        <v>291</v>
      </c>
      <c r="BX56" s="30" t="s">
        <v>295</v>
      </c>
      <c r="BY56" s="30">
        <v>100</v>
      </c>
      <c r="BZ56" s="30" t="s">
        <v>298</v>
      </c>
      <c r="CA56" s="30" t="s">
        <v>2</v>
      </c>
      <c r="CB56" s="30" t="s">
        <v>2</v>
      </c>
      <c r="CC56" s="30" t="s">
        <v>2</v>
      </c>
      <c r="CD56" s="30" t="s">
        <v>2</v>
      </c>
      <c r="CE56" s="30" t="s">
        <v>2</v>
      </c>
      <c r="CF56" s="30" t="s">
        <v>306</v>
      </c>
      <c r="CG56" s="30" t="s">
        <v>307</v>
      </c>
      <c r="CH56" s="30" t="s">
        <v>311</v>
      </c>
      <c r="CI56" s="30" t="s">
        <v>2</v>
      </c>
      <c r="CJ56" s="30" t="s">
        <v>2</v>
      </c>
      <c r="CK56" s="30" t="s">
        <v>312</v>
      </c>
      <c r="CL56" s="30" t="s">
        <v>2</v>
      </c>
      <c r="CM56" s="30" t="s">
        <v>2</v>
      </c>
      <c r="CN56" s="30" t="s">
        <v>316</v>
      </c>
      <c r="CO56" s="30" t="s">
        <v>319</v>
      </c>
      <c r="CP56" s="30" t="s">
        <v>322</v>
      </c>
      <c r="CQ56" s="30" t="s">
        <v>325</v>
      </c>
      <c r="CR56" s="30" t="s">
        <v>328</v>
      </c>
      <c r="CS56" s="30" t="s">
        <v>3</v>
      </c>
      <c r="CT56" s="30" t="s">
        <v>330</v>
      </c>
      <c r="CU56" s="26">
        <v>0</v>
      </c>
      <c r="CV56" s="27">
        <f t="shared" si="5"/>
        <v>418176</v>
      </c>
      <c r="CW56" s="186" t="str">
        <f t="shared" si="6"/>
        <v>Ricoh</v>
      </c>
      <c r="CX56" s="186" t="str">
        <f>IF(Data!D56="E","Entry",IF(Data!D56="L","Low",IF(Data!D56="M","Medium","High")))</f>
        <v>High</v>
      </c>
      <c r="CY56" s="187" t="str">
        <f t="shared" si="7"/>
        <v>MFD-Colour_Ri_H_3Y</v>
      </c>
    </row>
    <row r="57" spans="1:103" ht="15.95" customHeight="1" x14ac:dyDescent="0.2">
      <c r="A57" s="26" t="s">
        <v>482</v>
      </c>
      <c r="B57" s="26" t="s">
        <v>402</v>
      </c>
      <c r="C57" s="27" t="s">
        <v>8</v>
      </c>
      <c r="D57" s="184" t="s">
        <v>432</v>
      </c>
      <c r="E57" s="184">
        <v>4</v>
      </c>
      <c r="F57" s="184" t="s">
        <v>157</v>
      </c>
      <c r="G57" s="27">
        <v>0</v>
      </c>
      <c r="H57" s="27" t="s">
        <v>899</v>
      </c>
      <c r="I57" s="186">
        <v>0</v>
      </c>
      <c r="J57" s="188">
        <v>0</v>
      </c>
      <c r="K57" s="188">
        <v>0</v>
      </c>
      <c r="L57" s="186">
        <v>0</v>
      </c>
      <c r="M57" s="186">
        <v>0</v>
      </c>
      <c r="N57" s="26">
        <v>0</v>
      </c>
      <c r="O57" s="26" t="s">
        <v>0</v>
      </c>
      <c r="P57" s="26" t="s">
        <v>0</v>
      </c>
      <c r="Q57" s="26" t="s">
        <v>0</v>
      </c>
      <c r="R57" s="26" t="s">
        <v>0</v>
      </c>
      <c r="S57" s="26">
        <v>0</v>
      </c>
      <c r="T57" s="26">
        <v>0</v>
      </c>
      <c r="U57" s="26">
        <v>0</v>
      </c>
      <c r="V57" s="26">
        <v>0</v>
      </c>
      <c r="W57" s="26">
        <v>0</v>
      </c>
      <c r="X57" s="26">
        <v>0</v>
      </c>
      <c r="Y57" s="26">
        <v>0</v>
      </c>
      <c r="Z57" s="26">
        <v>0</v>
      </c>
      <c r="AA57" s="26">
        <v>0</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0</v>
      </c>
      <c r="AX57" s="26">
        <v>0</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7">
        <f t="shared" si="5"/>
        <v>0</v>
      </c>
      <c r="CW57" s="186" t="str">
        <f t="shared" si="6"/>
        <v>Ricoh</v>
      </c>
      <c r="CX57" s="186" t="str">
        <f>IF(Data!D57="E","Entry",IF(Data!D57="L","Low",IF(Data!D57="M","Medium","High")))</f>
        <v>High</v>
      </c>
      <c r="CY57" s="187" t="str">
        <f t="shared" si="7"/>
        <v>MFD-Colour_Ri_H_4N</v>
      </c>
    </row>
    <row r="58" spans="1:103" ht="20.100000000000001" customHeight="1" x14ac:dyDescent="0.2">
      <c r="A58" s="25" t="s">
        <v>2290</v>
      </c>
      <c r="B58" s="25" t="s">
        <v>434</v>
      </c>
      <c r="C58" s="200" t="s">
        <v>2013</v>
      </c>
      <c r="D58" s="199" t="s">
        <v>403</v>
      </c>
      <c r="E58" s="199">
        <v>1</v>
      </c>
      <c r="F58" s="203" t="s">
        <v>154</v>
      </c>
      <c r="G58" s="199" t="s">
        <v>2291</v>
      </c>
      <c r="H58" s="199" t="s">
        <v>2292</v>
      </c>
      <c r="I58" s="199">
        <v>25</v>
      </c>
      <c r="J58" s="308">
        <v>1200000</v>
      </c>
      <c r="K58" s="308">
        <v>107000</v>
      </c>
      <c r="L58" s="309">
        <v>2437.6</v>
      </c>
      <c r="M58" s="310">
        <v>6.6E-3</v>
      </c>
      <c r="N58" s="25"/>
      <c r="O58" s="311">
        <v>9.3500000000000007E-3</v>
      </c>
      <c r="P58" s="25"/>
      <c r="Q58" s="25">
        <v>1.243E-2</v>
      </c>
      <c r="R58" s="25"/>
      <c r="S58" s="25">
        <v>9.3500000000000007E-3</v>
      </c>
      <c r="T58" s="25"/>
      <c r="U58" s="25">
        <v>9.3500000000000007E-3</v>
      </c>
      <c r="V58" s="25"/>
      <c r="W58" s="25">
        <v>9.3500000000000007E-3</v>
      </c>
      <c r="X58" s="25"/>
      <c r="Y58" s="25">
        <v>9.3500000000000007E-3</v>
      </c>
      <c r="Z58" s="25"/>
      <c r="AA58" s="25">
        <v>9.3500000000000007E-3</v>
      </c>
      <c r="AB58" s="25"/>
      <c r="AC58" s="25">
        <v>9.3500000000000007E-3</v>
      </c>
      <c r="AD58" s="25"/>
      <c r="AE58" s="25">
        <v>9.3500000000000007E-3</v>
      </c>
      <c r="AF58" s="25"/>
      <c r="AG58" s="25">
        <v>9.3500000000000007E-3</v>
      </c>
      <c r="AH58" s="25"/>
      <c r="AI58" s="25">
        <v>9.3500000000000007E-3</v>
      </c>
      <c r="AJ58" s="25"/>
      <c r="AK58" s="25">
        <v>9.3500000000000007E-3</v>
      </c>
      <c r="AL58" s="25"/>
      <c r="AM58" s="25" t="s">
        <v>483</v>
      </c>
      <c r="AN58" s="25" t="s">
        <v>484</v>
      </c>
      <c r="AO58" s="25">
        <v>0</v>
      </c>
      <c r="AP58" s="25" t="s">
        <v>1250</v>
      </c>
      <c r="AQ58" s="204">
        <v>70400</v>
      </c>
      <c r="AR58" s="25">
        <v>0</v>
      </c>
      <c r="AS58" s="25" t="s">
        <v>0</v>
      </c>
      <c r="AT58" s="25">
        <v>0</v>
      </c>
      <c r="AU58" s="25" t="s">
        <v>485</v>
      </c>
      <c r="AV58" s="25">
        <v>5000</v>
      </c>
      <c r="AW58" s="25">
        <v>127.91</v>
      </c>
      <c r="AX58" s="25" t="s">
        <v>0</v>
      </c>
      <c r="AY58" s="25">
        <v>0</v>
      </c>
      <c r="AZ58" s="25">
        <v>385</v>
      </c>
      <c r="BA58" s="25">
        <v>460</v>
      </c>
      <c r="BB58" s="25">
        <v>385</v>
      </c>
      <c r="BC58" s="25">
        <v>385</v>
      </c>
      <c r="BD58" s="25">
        <v>385</v>
      </c>
      <c r="BE58" s="25">
        <v>385</v>
      </c>
      <c r="BF58" s="25">
        <v>385</v>
      </c>
      <c r="BG58" s="25">
        <v>385</v>
      </c>
      <c r="BH58" s="25">
        <v>385</v>
      </c>
      <c r="BI58" s="25">
        <v>385</v>
      </c>
      <c r="BJ58" s="25">
        <v>385</v>
      </c>
      <c r="BK58" s="25">
        <v>385</v>
      </c>
      <c r="BL58" s="25" t="s">
        <v>1908</v>
      </c>
      <c r="BM58" s="25" t="s">
        <v>487</v>
      </c>
      <c r="BN58" s="25" t="s">
        <v>95</v>
      </c>
      <c r="BO58" s="25" t="s">
        <v>176</v>
      </c>
      <c r="BP58" s="25" t="s">
        <v>488</v>
      </c>
      <c r="BQ58" s="25" t="s">
        <v>1909</v>
      </c>
      <c r="BR58" s="25" t="s">
        <v>195</v>
      </c>
      <c r="BS58" s="25" t="s">
        <v>111</v>
      </c>
      <c r="BT58" s="25" t="s">
        <v>2</v>
      </c>
      <c r="BU58" s="25" t="s">
        <v>489</v>
      </c>
      <c r="BV58" s="25" t="s">
        <v>490</v>
      </c>
      <c r="BW58" s="25" t="s">
        <v>491</v>
      </c>
      <c r="BX58" s="25" t="s">
        <v>492</v>
      </c>
      <c r="BY58" s="25">
        <v>96</v>
      </c>
      <c r="BZ58" s="25">
        <v>110</v>
      </c>
      <c r="CA58" s="25" t="s">
        <v>2</v>
      </c>
      <c r="CB58" s="25" t="s">
        <v>2</v>
      </c>
      <c r="CC58" s="25" t="s">
        <v>2</v>
      </c>
      <c r="CD58" s="25" t="s">
        <v>1781</v>
      </c>
      <c r="CE58" s="25" t="s">
        <v>493</v>
      </c>
      <c r="CF58" s="25" t="s">
        <v>1910</v>
      </c>
      <c r="CG58" s="25" t="s">
        <v>216</v>
      </c>
      <c r="CH58" s="25" t="s">
        <v>1911</v>
      </c>
      <c r="CI58" s="25" t="s">
        <v>2</v>
      </c>
      <c r="CJ58" s="25" t="s">
        <v>2</v>
      </c>
      <c r="CK58" s="25">
        <v>2000</v>
      </c>
      <c r="CL58" s="25" t="s">
        <v>2</v>
      </c>
      <c r="CM58" s="25" t="s">
        <v>2</v>
      </c>
      <c r="CN58" s="25" t="s">
        <v>220</v>
      </c>
      <c r="CO58" s="25" t="s">
        <v>1912</v>
      </c>
      <c r="CP58" s="25" t="s">
        <v>1913</v>
      </c>
      <c r="CQ58" s="25" t="s">
        <v>1914</v>
      </c>
      <c r="CR58" s="25" t="s">
        <v>494</v>
      </c>
      <c r="CS58" s="25" t="s">
        <v>3</v>
      </c>
      <c r="CT58" s="25" t="s">
        <v>0</v>
      </c>
      <c r="CU58" s="25">
        <v>0</v>
      </c>
      <c r="CV58" s="199" t="str">
        <f t="shared" si="5"/>
        <v>AP2560</v>
      </c>
      <c r="CW58" s="199" t="str">
        <f t="shared" si="6"/>
        <v>Fujifilm Business Innovation</v>
      </c>
      <c r="CX58" s="199" t="str">
        <f>IF(Data!D58="E","Entry",IF(Data!D58="L","Low",IF(Data!D58="M","Medium","High")))</f>
        <v>Entry</v>
      </c>
      <c r="CY58" s="206" t="str">
        <f t="shared" si="7"/>
        <v>MFD-BW_FBI_E_1Y</v>
      </c>
    </row>
    <row r="59" spans="1:103" ht="20.100000000000001" customHeight="1" x14ac:dyDescent="0.2">
      <c r="A59" s="25" t="s">
        <v>2293</v>
      </c>
      <c r="B59" s="25" t="s">
        <v>434</v>
      </c>
      <c r="C59" s="200" t="s">
        <v>2013</v>
      </c>
      <c r="D59" s="199" t="s">
        <v>435</v>
      </c>
      <c r="E59" s="199">
        <v>1</v>
      </c>
      <c r="F59" s="203" t="s">
        <v>155</v>
      </c>
      <c r="G59" s="200" t="s">
        <v>2294</v>
      </c>
      <c r="H59" s="200" t="s">
        <v>2295</v>
      </c>
      <c r="I59" s="200">
        <v>30</v>
      </c>
      <c r="J59" s="201">
        <v>1800000</v>
      </c>
      <c r="K59" s="201">
        <v>129000</v>
      </c>
      <c r="L59" s="312">
        <v>2877.6</v>
      </c>
      <c r="M59" s="313">
        <v>6.6000000000000008E-3</v>
      </c>
      <c r="N59" s="314"/>
      <c r="O59" s="315">
        <v>9.3500000000000007E-3</v>
      </c>
      <c r="P59" s="314"/>
      <c r="Q59" s="314">
        <v>1.2474000000000002E-2</v>
      </c>
      <c r="R59" s="314"/>
      <c r="S59" s="314">
        <v>9.3500000000000007E-3</v>
      </c>
      <c r="T59" s="314"/>
      <c r="U59" s="314">
        <v>9.3500000000000007E-3</v>
      </c>
      <c r="V59" s="314"/>
      <c r="W59" s="314">
        <v>9.3500000000000007E-3</v>
      </c>
      <c r="X59" s="314"/>
      <c r="Y59" s="314">
        <v>9.3500000000000007E-3</v>
      </c>
      <c r="Z59" s="314"/>
      <c r="AA59" s="314">
        <v>9.3500000000000007E-3</v>
      </c>
      <c r="AB59" s="314"/>
      <c r="AC59" s="314">
        <v>9.3500000000000007E-3</v>
      </c>
      <c r="AD59" s="314"/>
      <c r="AE59" s="314">
        <v>9.3500000000000007E-3</v>
      </c>
      <c r="AF59" s="314"/>
      <c r="AG59" s="314">
        <v>9.3500000000000007E-3</v>
      </c>
      <c r="AH59" s="314"/>
      <c r="AI59" s="314">
        <v>9.3500000000000007E-3</v>
      </c>
      <c r="AJ59" s="314"/>
      <c r="AK59" s="314">
        <v>9.3500000000000007E-3</v>
      </c>
      <c r="AL59" s="314"/>
      <c r="AM59" s="200" t="s">
        <v>483</v>
      </c>
      <c r="AN59" s="200" t="s">
        <v>484</v>
      </c>
      <c r="AO59" s="316">
        <v>0</v>
      </c>
      <c r="AP59" s="316" t="s">
        <v>1250</v>
      </c>
      <c r="AQ59" s="316">
        <v>82700</v>
      </c>
      <c r="AR59" s="316">
        <v>0</v>
      </c>
      <c r="AS59" s="316" t="s">
        <v>0</v>
      </c>
      <c r="AT59" s="316">
        <v>0</v>
      </c>
      <c r="AU59" s="200" t="s">
        <v>485</v>
      </c>
      <c r="AV59" s="201">
        <v>5000</v>
      </c>
      <c r="AW59" s="316">
        <v>127.91</v>
      </c>
      <c r="AX59" s="316" t="s">
        <v>0</v>
      </c>
      <c r="AY59" s="316">
        <v>0</v>
      </c>
      <c r="AZ59" s="316">
        <v>385</v>
      </c>
      <c r="BA59" s="316">
        <v>460</v>
      </c>
      <c r="BB59" s="316">
        <v>385</v>
      </c>
      <c r="BC59" s="316">
        <v>385</v>
      </c>
      <c r="BD59" s="316">
        <v>385</v>
      </c>
      <c r="BE59" s="316">
        <v>385</v>
      </c>
      <c r="BF59" s="316">
        <v>385</v>
      </c>
      <c r="BG59" s="316">
        <v>385</v>
      </c>
      <c r="BH59" s="316">
        <v>385</v>
      </c>
      <c r="BI59" s="316">
        <v>385</v>
      </c>
      <c r="BJ59" s="316">
        <v>385</v>
      </c>
      <c r="BK59" s="316">
        <v>385</v>
      </c>
      <c r="BL59" s="200" t="s">
        <v>496</v>
      </c>
      <c r="BM59" s="200" t="s">
        <v>487</v>
      </c>
      <c r="BN59" s="200" t="s">
        <v>95</v>
      </c>
      <c r="BO59" s="201" t="s">
        <v>178</v>
      </c>
      <c r="BP59" s="201" t="s">
        <v>1915</v>
      </c>
      <c r="BQ59" s="200" t="s">
        <v>1909</v>
      </c>
      <c r="BR59" s="200" t="s">
        <v>195</v>
      </c>
      <c r="BS59" s="200" t="s">
        <v>111</v>
      </c>
      <c r="BT59" s="200" t="s">
        <v>2</v>
      </c>
      <c r="BU59" s="200" t="s">
        <v>489</v>
      </c>
      <c r="BV59" s="200" t="s">
        <v>490</v>
      </c>
      <c r="BW59" s="200" t="s">
        <v>491</v>
      </c>
      <c r="BX59" s="200" t="s">
        <v>492</v>
      </c>
      <c r="BY59" s="200">
        <v>96</v>
      </c>
      <c r="BZ59" s="200">
        <v>110</v>
      </c>
      <c r="CA59" s="200" t="s">
        <v>2</v>
      </c>
      <c r="CB59" s="200" t="s">
        <v>2</v>
      </c>
      <c r="CC59" s="200" t="s">
        <v>2</v>
      </c>
      <c r="CD59" s="200" t="s">
        <v>1781</v>
      </c>
      <c r="CE59" s="200" t="s">
        <v>493</v>
      </c>
      <c r="CF59" s="200" t="s">
        <v>1910</v>
      </c>
      <c r="CG59" s="200" t="s">
        <v>216</v>
      </c>
      <c r="CH59" s="200" t="s">
        <v>1911</v>
      </c>
      <c r="CI59" s="200" t="s">
        <v>2</v>
      </c>
      <c r="CJ59" s="200" t="s">
        <v>2</v>
      </c>
      <c r="CK59" s="200">
        <v>2000</v>
      </c>
      <c r="CL59" s="200" t="s">
        <v>2</v>
      </c>
      <c r="CM59" s="200" t="s">
        <v>2</v>
      </c>
      <c r="CN59" s="200" t="s">
        <v>220</v>
      </c>
      <c r="CO59" s="200" t="s">
        <v>1912</v>
      </c>
      <c r="CP59" s="200" t="s">
        <v>1913</v>
      </c>
      <c r="CQ59" s="200" t="s">
        <v>1914</v>
      </c>
      <c r="CR59" s="200" t="s">
        <v>494</v>
      </c>
      <c r="CS59" s="200" t="s">
        <v>3</v>
      </c>
      <c r="CT59" s="200" t="s">
        <v>0</v>
      </c>
      <c r="CU59" s="25">
        <v>0</v>
      </c>
      <c r="CV59" s="200" t="str">
        <f t="shared" si="5"/>
        <v>AP3060</v>
      </c>
      <c r="CW59" s="199" t="str">
        <f t="shared" si="6"/>
        <v>Fujifilm Business Innovation</v>
      </c>
      <c r="CX59" s="199" t="str">
        <f>IF(Data!D59="E","Entry",IF(Data!D59="L","Low",IF(Data!D59="M","Medium","High")))</f>
        <v>Low</v>
      </c>
      <c r="CY59" s="206" t="str">
        <f t="shared" si="7"/>
        <v>MFD-BW_FBI_L_1Y</v>
      </c>
    </row>
    <row r="60" spans="1:103" ht="20.100000000000001" customHeight="1" x14ac:dyDescent="0.2">
      <c r="A60" s="25" t="s">
        <v>2296</v>
      </c>
      <c r="B60" s="25" t="s">
        <v>434</v>
      </c>
      <c r="C60" s="200" t="s">
        <v>2013</v>
      </c>
      <c r="D60" s="199" t="s">
        <v>435</v>
      </c>
      <c r="E60" s="199">
        <v>2</v>
      </c>
      <c r="F60" s="203" t="s">
        <v>155</v>
      </c>
      <c r="G60" s="199" t="s">
        <v>2297</v>
      </c>
      <c r="H60" s="199" t="s">
        <v>1916</v>
      </c>
      <c r="I60" s="199">
        <v>35</v>
      </c>
      <c r="J60" s="308">
        <v>2400000</v>
      </c>
      <c r="K60" s="308">
        <v>153000</v>
      </c>
      <c r="L60" s="309">
        <v>4006.2</v>
      </c>
      <c r="M60" s="310">
        <v>6.6000000000000008E-3</v>
      </c>
      <c r="N60" s="25"/>
      <c r="O60" s="311">
        <v>9.3500000000000007E-3</v>
      </c>
      <c r="P60" s="25"/>
      <c r="Q60" s="25">
        <v>1.2474000000000002E-2</v>
      </c>
      <c r="R60" s="25"/>
      <c r="S60" s="25">
        <v>9.3500000000000007E-3</v>
      </c>
      <c r="T60" s="25"/>
      <c r="U60" s="25">
        <v>9.3500000000000007E-3</v>
      </c>
      <c r="V60" s="25"/>
      <c r="W60" s="25">
        <v>9.3500000000000007E-3</v>
      </c>
      <c r="X60" s="25"/>
      <c r="Y60" s="25">
        <v>9.3500000000000007E-3</v>
      </c>
      <c r="Z60" s="25"/>
      <c r="AA60" s="25">
        <v>9.3500000000000007E-3</v>
      </c>
      <c r="AB60" s="25"/>
      <c r="AC60" s="25">
        <v>9.3500000000000007E-3</v>
      </c>
      <c r="AD60" s="25"/>
      <c r="AE60" s="25">
        <v>9.3500000000000007E-3</v>
      </c>
      <c r="AF60" s="25"/>
      <c r="AG60" s="25">
        <v>9.3500000000000007E-3</v>
      </c>
      <c r="AH60" s="25"/>
      <c r="AI60" s="25">
        <v>9.3500000000000007E-3</v>
      </c>
      <c r="AJ60" s="25"/>
      <c r="AK60" s="25">
        <v>9.3500000000000007E-3</v>
      </c>
      <c r="AL60" s="25"/>
      <c r="AM60" s="25" t="s">
        <v>483</v>
      </c>
      <c r="AN60" s="25" t="s">
        <v>484</v>
      </c>
      <c r="AO60" s="25">
        <v>0</v>
      </c>
      <c r="AP60" s="25" t="s">
        <v>1250</v>
      </c>
      <c r="AQ60" s="204">
        <v>95300</v>
      </c>
      <c r="AR60" s="25">
        <v>0</v>
      </c>
      <c r="AS60" s="25" t="s">
        <v>0</v>
      </c>
      <c r="AT60" s="25">
        <v>0</v>
      </c>
      <c r="AU60" s="25" t="s">
        <v>485</v>
      </c>
      <c r="AV60" s="25">
        <v>5000</v>
      </c>
      <c r="AW60" s="25">
        <v>127.91</v>
      </c>
      <c r="AX60" s="25" t="s">
        <v>0</v>
      </c>
      <c r="AY60" s="25">
        <v>0</v>
      </c>
      <c r="AZ60" s="25">
        <v>385</v>
      </c>
      <c r="BA60" s="25">
        <v>460</v>
      </c>
      <c r="BB60" s="25">
        <v>385</v>
      </c>
      <c r="BC60" s="25">
        <v>385</v>
      </c>
      <c r="BD60" s="25">
        <v>385</v>
      </c>
      <c r="BE60" s="25">
        <v>385</v>
      </c>
      <c r="BF60" s="25">
        <v>385</v>
      </c>
      <c r="BG60" s="25">
        <v>385</v>
      </c>
      <c r="BH60" s="25">
        <v>385</v>
      </c>
      <c r="BI60" s="25">
        <v>385</v>
      </c>
      <c r="BJ60" s="25">
        <v>385</v>
      </c>
      <c r="BK60" s="25">
        <v>385</v>
      </c>
      <c r="BL60" s="25" t="s">
        <v>496</v>
      </c>
      <c r="BM60" s="25" t="s">
        <v>487</v>
      </c>
      <c r="BN60" s="25" t="s">
        <v>95</v>
      </c>
      <c r="BO60" s="25" t="s">
        <v>180</v>
      </c>
      <c r="BP60" s="25" t="s">
        <v>497</v>
      </c>
      <c r="BQ60" s="25" t="s">
        <v>1909</v>
      </c>
      <c r="BR60" s="25" t="s">
        <v>195</v>
      </c>
      <c r="BS60" s="25" t="s">
        <v>111</v>
      </c>
      <c r="BT60" s="25" t="s">
        <v>2</v>
      </c>
      <c r="BU60" s="25" t="s">
        <v>489</v>
      </c>
      <c r="BV60" s="25" t="s">
        <v>490</v>
      </c>
      <c r="BW60" s="25" t="s">
        <v>491</v>
      </c>
      <c r="BX60" s="25" t="s">
        <v>492</v>
      </c>
      <c r="BY60" s="25">
        <v>96</v>
      </c>
      <c r="BZ60" s="25">
        <v>110</v>
      </c>
      <c r="CA60" s="25" t="s">
        <v>2</v>
      </c>
      <c r="CB60" s="25" t="s">
        <v>2</v>
      </c>
      <c r="CC60" s="25" t="s">
        <v>2</v>
      </c>
      <c r="CD60" s="25" t="s">
        <v>1781</v>
      </c>
      <c r="CE60" s="25" t="s">
        <v>493</v>
      </c>
      <c r="CF60" s="25" t="s">
        <v>1910</v>
      </c>
      <c r="CG60" s="25" t="s">
        <v>216</v>
      </c>
      <c r="CH60" s="25" t="s">
        <v>1911</v>
      </c>
      <c r="CI60" s="25" t="s">
        <v>2</v>
      </c>
      <c r="CJ60" s="25" t="s">
        <v>2</v>
      </c>
      <c r="CK60" s="25">
        <v>2000</v>
      </c>
      <c r="CL60" s="25" t="s">
        <v>2</v>
      </c>
      <c r="CM60" s="25" t="s">
        <v>2</v>
      </c>
      <c r="CN60" s="25" t="s">
        <v>220</v>
      </c>
      <c r="CO60" s="25" t="s">
        <v>1912</v>
      </c>
      <c r="CP60" s="25" t="s">
        <v>1913</v>
      </c>
      <c r="CQ60" s="25" t="s">
        <v>1914</v>
      </c>
      <c r="CR60" s="25" t="s">
        <v>494</v>
      </c>
      <c r="CS60" s="25" t="s">
        <v>3</v>
      </c>
      <c r="CT60" s="25" t="s">
        <v>0</v>
      </c>
      <c r="CU60" s="25">
        <v>0</v>
      </c>
      <c r="CV60" s="199" t="str">
        <f t="shared" si="5"/>
        <v>AP3560</v>
      </c>
      <c r="CW60" s="199" t="str">
        <f t="shared" si="6"/>
        <v>Fujifilm Business Innovation</v>
      </c>
      <c r="CX60" s="199" t="str">
        <f>IF(Data!D60="E","Entry",IF(Data!D60="L","Low",IF(Data!D60="M","Medium","High")))</f>
        <v>Low</v>
      </c>
      <c r="CY60" s="206" t="str">
        <f t="shared" si="7"/>
        <v>MFD-BW_FBI_L_2Y</v>
      </c>
    </row>
    <row r="61" spans="1:103" ht="20.100000000000001" customHeight="1" x14ac:dyDescent="0.2">
      <c r="A61" s="25" t="s">
        <v>2298</v>
      </c>
      <c r="B61" s="25" t="s">
        <v>434</v>
      </c>
      <c r="C61" s="200" t="s">
        <v>2013</v>
      </c>
      <c r="D61" s="199" t="s">
        <v>433</v>
      </c>
      <c r="E61" s="199">
        <v>1</v>
      </c>
      <c r="F61" s="203" t="s">
        <v>156</v>
      </c>
      <c r="G61" s="199" t="s">
        <v>2299</v>
      </c>
      <c r="H61" s="199" t="s">
        <v>2300</v>
      </c>
      <c r="I61" s="199">
        <v>50</v>
      </c>
      <c r="J61" s="308">
        <v>300000</v>
      </c>
      <c r="K61" s="308">
        <v>100000</v>
      </c>
      <c r="L61" s="309">
        <v>2085.6</v>
      </c>
      <c r="M61" s="310">
        <v>1.21E-2</v>
      </c>
      <c r="N61" s="25"/>
      <c r="O61" s="311">
        <v>1.6500000000000001E-2</v>
      </c>
      <c r="P61" s="25"/>
      <c r="Q61" s="25">
        <v>1.8700000000000001E-2</v>
      </c>
      <c r="R61" s="25"/>
      <c r="S61" s="25">
        <v>1.6500000000000001E-2</v>
      </c>
      <c r="T61" s="25"/>
      <c r="U61" s="25">
        <v>1.6500000000000001E-2</v>
      </c>
      <c r="V61" s="25"/>
      <c r="W61" s="25">
        <v>1.6500000000000001E-2</v>
      </c>
      <c r="X61" s="25"/>
      <c r="Y61" s="25">
        <v>1.6500000000000001E-2</v>
      </c>
      <c r="Z61" s="25"/>
      <c r="AA61" s="25">
        <v>1.6500000000000001E-2</v>
      </c>
      <c r="AB61" s="25"/>
      <c r="AC61" s="25">
        <v>1.6500000000000001E-2</v>
      </c>
      <c r="AD61" s="25"/>
      <c r="AE61" s="25">
        <v>1.6500000000000001E-2</v>
      </c>
      <c r="AF61" s="25"/>
      <c r="AG61" s="25">
        <v>1.6500000000000001E-2</v>
      </c>
      <c r="AH61" s="25"/>
      <c r="AI61" s="25">
        <v>1.6500000000000001E-2</v>
      </c>
      <c r="AJ61" s="25"/>
      <c r="AK61" s="25">
        <v>1.6500000000000001E-2</v>
      </c>
      <c r="AL61" s="25"/>
      <c r="AM61" s="25" t="s">
        <v>2096</v>
      </c>
      <c r="AN61" s="25" t="s">
        <v>2097</v>
      </c>
      <c r="AO61" s="25">
        <v>0</v>
      </c>
      <c r="AP61" s="25" t="s">
        <v>1250</v>
      </c>
      <c r="AQ61" s="204">
        <v>50000</v>
      </c>
      <c r="AR61" s="25">
        <v>0</v>
      </c>
      <c r="AS61" s="25" t="s">
        <v>0</v>
      </c>
      <c r="AT61" s="25">
        <v>0</v>
      </c>
      <c r="AU61" s="25" t="s">
        <v>0</v>
      </c>
      <c r="AV61" s="25" t="s">
        <v>0</v>
      </c>
      <c r="AW61" s="25">
        <v>0</v>
      </c>
      <c r="AX61" s="25" t="s">
        <v>0</v>
      </c>
      <c r="AY61" s="25">
        <v>0</v>
      </c>
      <c r="AZ61" s="25">
        <v>385</v>
      </c>
      <c r="BA61" s="25">
        <v>460</v>
      </c>
      <c r="BB61" s="25">
        <v>385</v>
      </c>
      <c r="BC61" s="25">
        <v>385</v>
      </c>
      <c r="BD61" s="25">
        <v>385</v>
      </c>
      <c r="BE61" s="25">
        <v>385</v>
      </c>
      <c r="BF61" s="25">
        <v>385</v>
      </c>
      <c r="BG61" s="25">
        <v>385</v>
      </c>
      <c r="BH61" s="25">
        <v>385</v>
      </c>
      <c r="BI61" s="25">
        <v>385</v>
      </c>
      <c r="BJ61" s="25">
        <v>385</v>
      </c>
      <c r="BK61" s="25">
        <v>385</v>
      </c>
      <c r="BL61" s="25" t="s">
        <v>1917</v>
      </c>
      <c r="BM61" s="25">
        <v>7.2</v>
      </c>
      <c r="BN61" s="25" t="s">
        <v>2098</v>
      </c>
      <c r="BO61" s="25" t="s">
        <v>175</v>
      </c>
      <c r="BP61" s="25" t="s">
        <v>2099</v>
      </c>
      <c r="BQ61" s="25" t="s">
        <v>2100</v>
      </c>
      <c r="BR61" s="25" t="s">
        <v>111</v>
      </c>
      <c r="BS61" s="25" t="s">
        <v>111</v>
      </c>
      <c r="BT61" s="25" t="s">
        <v>2</v>
      </c>
      <c r="BU61" s="25" t="s">
        <v>1868</v>
      </c>
      <c r="BV61" s="25" t="s">
        <v>1918</v>
      </c>
      <c r="BW61" s="25" t="s">
        <v>207</v>
      </c>
      <c r="BX61" s="25" t="s">
        <v>499</v>
      </c>
      <c r="BY61" s="25">
        <v>150</v>
      </c>
      <c r="BZ61" s="25">
        <v>50</v>
      </c>
      <c r="CA61" s="25" t="s">
        <v>2</v>
      </c>
      <c r="CB61" s="25" t="s">
        <v>2</v>
      </c>
      <c r="CC61" s="25" t="s">
        <v>2</v>
      </c>
      <c r="CD61" s="25" t="s">
        <v>1781</v>
      </c>
      <c r="CE61" s="25" t="s">
        <v>493</v>
      </c>
      <c r="CF61" s="25" t="s">
        <v>2101</v>
      </c>
      <c r="CG61" s="25" t="s">
        <v>216</v>
      </c>
      <c r="CH61" s="25" t="s">
        <v>1919</v>
      </c>
      <c r="CI61" s="25" t="s">
        <v>2</v>
      </c>
      <c r="CJ61" s="25" t="s">
        <v>2</v>
      </c>
      <c r="CK61" s="25">
        <v>2000</v>
      </c>
      <c r="CL61" s="25" t="s">
        <v>2</v>
      </c>
      <c r="CM61" s="25" t="s">
        <v>2</v>
      </c>
      <c r="CN61" s="25" t="s">
        <v>2102</v>
      </c>
      <c r="CO61" s="25" t="s">
        <v>2103</v>
      </c>
      <c r="CP61" s="25" t="s">
        <v>1855</v>
      </c>
      <c r="CQ61" s="25" t="s">
        <v>2104</v>
      </c>
      <c r="CR61" s="25" t="s">
        <v>2105</v>
      </c>
      <c r="CS61" s="25" t="s">
        <v>2106</v>
      </c>
      <c r="CT61" s="205" t="s">
        <v>2107</v>
      </c>
      <c r="CU61" s="25">
        <v>0</v>
      </c>
      <c r="CV61" s="199" t="str">
        <f t="shared" si="5"/>
        <v>DPM385z</v>
      </c>
      <c r="CW61" s="199" t="str">
        <f t="shared" si="6"/>
        <v>Fujifilm Business Innovation</v>
      </c>
      <c r="CX61" s="199" t="str">
        <f>IF(Data!D61="E","Entry",IF(Data!D61="L","Low",IF(Data!D61="M","Medium","High")))</f>
        <v>Medium</v>
      </c>
      <c r="CY61" s="206" t="str">
        <f t="shared" si="7"/>
        <v>MFD-BW_FBI_M_1Y</v>
      </c>
    </row>
    <row r="62" spans="1:103" ht="20.100000000000001" customHeight="1" x14ac:dyDescent="0.2">
      <c r="A62" s="25" t="s">
        <v>2301</v>
      </c>
      <c r="B62" s="25" t="s">
        <v>434</v>
      </c>
      <c r="C62" s="200" t="s">
        <v>2013</v>
      </c>
      <c r="D62" s="199" t="s">
        <v>433</v>
      </c>
      <c r="E62" s="199">
        <v>2</v>
      </c>
      <c r="F62" s="203" t="s">
        <v>156</v>
      </c>
      <c r="G62" s="199" t="s">
        <v>2302</v>
      </c>
      <c r="H62" s="299" t="s">
        <v>2303</v>
      </c>
      <c r="I62" s="199">
        <v>45</v>
      </c>
      <c r="J62" s="308">
        <v>2400000</v>
      </c>
      <c r="K62" s="308">
        <v>207000</v>
      </c>
      <c r="L62" s="309">
        <v>4263.6000000000004</v>
      </c>
      <c r="M62" s="310">
        <v>6.6000000000000008E-3</v>
      </c>
      <c r="N62" s="25"/>
      <c r="O62" s="311">
        <v>9.3500000000000007E-3</v>
      </c>
      <c r="P62" s="25"/>
      <c r="Q62" s="25">
        <v>1.2474000000000002E-2</v>
      </c>
      <c r="R62" s="25"/>
      <c r="S62" s="25">
        <v>9.3500000000000007E-3</v>
      </c>
      <c r="T62" s="25"/>
      <c r="U62" s="25">
        <v>9.3500000000000007E-3</v>
      </c>
      <c r="V62" s="25"/>
      <c r="W62" s="25">
        <v>9.3500000000000007E-3</v>
      </c>
      <c r="X62" s="25"/>
      <c r="Y62" s="25">
        <v>9.3500000000000007E-3</v>
      </c>
      <c r="Z62" s="25"/>
      <c r="AA62" s="25">
        <v>9.3500000000000007E-3</v>
      </c>
      <c r="AB62" s="25"/>
      <c r="AC62" s="25">
        <v>9.3500000000000007E-3</v>
      </c>
      <c r="AD62" s="25"/>
      <c r="AE62" s="25">
        <v>9.3500000000000007E-3</v>
      </c>
      <c r="AF62" s="25"/>
      <c r="AG62" s="25">
        <v>9.3500000000000007E-3</v>
      </c>
      <c r="AH62" s="25"/>
      <c r="AI62" s="25">
        <v>9.3500000000000007E-3</v>
      </c>
      <c r="AJ62" s="25"/>
      <c r="AK62" s="25">
        <v>9.3500000000000007E-3</v>
      </c>
      <c r="AL62" s="25"/>
      <c r="AM62" s="25" t="s">
        <v>1920</v>
      </c>
      <c r="AN62" s="25" t="s">
        <v>1921</v>
      </c>
      <c r="AO62" s="25">
        <v>0</v>
      </c>
      <c r="AP62" s="25" t="s">
        <v>1250</v>
      </c>
      <c r="AQ62" s="204">
        <v>150000</v>
      </c>
      <c r="AR62" s="25">
        <v>0</v>
      </c>
      <c r="AS62" s="25" t="s">
        <v>0</v>
      </c>
      <c r="AT62" s="25">
        <v>0</v>
      </c>
      <c r="AU62" s="25" t="s">
        <v>485</v>
      </c>
      <c r="AV62" s="25">
        <v>5000</v>
      </c>
      <c r="AW62" s="25">
        <v>127.91</v>
      </c>
      <c r="AX62" s="25" t="s">
        <v>0</v>
      </c>
      <c r="AY62" s="25">
        <v>0</v>
      </c>
      <c r="AZ62" s="25">
        <v>385</v>
      </c>
      <c r="BA62" s="25">
        <v>460</v>
      </c>
      <c r="BB62" s="25">
        <v>385</v>
      </c>
      <c r="BC62" s="25">
        <v>385</v>
      </c>
      <c r="BD62" s="25">
        <v>385</v>
      </c>
      <c r="BE62" s="25">
        <v>385</v>
      </c>
      <c r="BF62" s="25">
        <v>385</v>
      </c>
      <c r="BG62" s="25">
        <v>385</v>
      </c>
      <c r="BH62" s="25">
        <v>385</v>
      </c>
      <c r="BI62" s="25">
        <v>385</v>
      </c>
      <c r="BJ62" s="25">
        <v>385</v>
      </c>
      <c r="BK62" s="25">
        <v>385</v>
      </c>
      <c r="BL62" s="25" t="s">
        <v>1922</v>
      </c>
      <c r="BM62" s="25" t="s">
        <v>1923</v>
      </c>
      <c r="BN62" s="25" t="s">
        <v>1924</v>
      </c>
      <c r="BO62" s="25" t="s">
        <v>182</v>
      </c>
      <c r="BP62" s="25" t="s">
        <v>497</v>
      </c>
      <c r="BQ62" s="25" t="s">
        <v>501</v>
      </c>
      <c r="BR62" s="25" t="s">
        <v>1925</v>
      </c>
      <c r="BS62" s="25" t="s">
        <v>136</v>
      </c>
      <c r="BT62" s="25" t="s">
        <v>2</v>
      </c>
      <c r="BU62" s="25" t="s">
        <v>489</v>
      </c>
      <c r="BV62" s="25" t="s">
        <v>1926</v>
      </c>
      <c r="BW62" s="25" t="s">
        <v>1927</v>
      </c>
      <c r="BX62" s="25" t="s">
        <v>1928</v>
      </c>
      <c r="BY62" s="25">
        <v>90</v>
      </c>
      <c r="BZ62" s="25">
        <v>130</v>
      </c>
      <c r="CA62" s="25" t="s">
        <v>2</v>
      </c>
      <c r="CB62" s="25" t="s">
        <v>2</v>
      </c>
      <c r="CC62" s="25" t="s">
        <v>2</v>
      </c>
      <c r="CD62" s="25" t="s">
        <v>1781</v>
      </c>
      <c r="CE62" s="25" t="s">
        <v>493</v>
      </c>
      <c r="CF62" s="25" t="s">
        <v>1929</v>
      </c>
      <c r="CG62" s="25" t="s">
        <v>216</v>
      </c>
      <c r="CH62" s="25" t="s">
        <v>1919</v>
      </c>
      <c r="CI62" s="25" t="s">
        <v>2</v>
      </c>
      <c r="CJ62" s="25" t="s">
        <v>2</v>
      </c>
      <c r="CK62" s="25">
        <v>2000</v>
      </c>
      <c r="CL62" s="25" t="s">
        <v>2</v>
      </c>
      <c r="CM62" s="25" t="s">
        <v>2</v>
      </c>
      <c r="CN62" s="25" t="s">
        <v>220</v>
      </c>
      <c r="CO62" s="25" t="s">
        <v>1912</v>
      </c>
      <c r="CP62" s="25" t="s">
        <v>1930</v>
      </c>
      <c r="CQ62" s="25" t="s">
        <v>1931</v>
      </c>
      <c r="CR62" s="25" t="s">
        <v>1932</v>
      </c>
      <c r="CS62" s="25" t="s">
        <v>3</v>
      </c>
      <c r="CT62" s="25" t="s">
        <v>0</v>
      </c>
      <c r="CU62" s="25">
        <v>0</v>
      </c>
      <c r="CV62" s="199" t="str">
        <f t="shared" si="5"/>
        <v>AP4570</v>
      </c>
      <c r="CW62" s="199" t="str">
        <f t="shared" si="6"/>
        <v>Fujifilm Business Innovation</v>
      </c>
      <c r="CX62" s="199" t="str">
        <f>IF(Data!D62="E","Entry",IF(Data!D62="L","Low",IF(Data!D62="M","Medium","High")))</f>
        <v>Medium</v>
      </c>
      <c r="CY62" s="206" t="str">
        <f t="shared" si="7"/>
        <v>MFD-BW_FBI_M_2Y</v>
      </c>
    </row>
    <row r="63" spans="1:103" ht="20.100000000000001" customHeight="1" x14ac:dyDescent="0.2">
      <c r="A63" s="25" t="s">
        <v>2304</v>
      </c>
      <c r="B63" s="25" t="s">
        <v>434</v>
      </c>
      <c r="C63" s="200" t="s">
        <v>2013</v>
      </c>
      <c r="D63" s="199" t="s">
        <v>433</v>
      </c>
      <c r="E63" s="199">
        <v>3</v>
      </c>
      <c r="F63" s="203" t="s">
        <v>156</v>
      </c>
      <c r="G63" s="238" t="s">
        <v>2305</v>
      </c>
      <c r="H63" s="238" t="s">
        <v>2306</v>
      </c>
      <c r="I63" s="199">
        <v>55</v>
      </c>
      <c r="J63" s="308">
        <v>2400000</v>
      </c>
      <c r="K63" s="308">
        <v>270000</v>
      </c>
      <c r="L63" s="309">
        <v>5399.9</v>
      </c>
      <c r="M63" s="310">
        <v>6.6000000000000008E-3</v>
      </c>
      <c r="N63" s="25"/>
      <c r="O63" s="311">
        <v>9.3500000000000007E-3</v>
      </c>
      <c r="P63" s="25"/>
      <c r="Q63" s="25">
        <v>1.2474000000000002E-2</v>
      </c>
      <c r="R63" s="25"/>
      <c r="S63" s="25">
        <v>9.3500000000000007E-3</v>
      </c>
      <c r="T63" s="25"/>
      <c r="U63" s="25">
        <v>9.3500000000000007E-3</v>
      </c>
      <c r="V63" s="25"/>
      <c r="W63" s="25">
        <v>9.3500000000000007E-3</v>
      </c>
      <c r="X63" s="25"/>
      <c r="Y63" s="25">
        <v>9.3500000000000007E-3</v>
      </c>
      <c r="Z63" s="25"/>
      <c r="AA63" s="25">
        <v>9.3500000000000007E-3</v>
      </c>
      <c r="AB63" s="25"/>
      <c r="AC63" s="25">
        <v>9.3500000000000007E-3</v>
      </c>
      <c r="AD63" s="25"/>
      <c r="AE63" s="25">
        <v>9.3500000000000007E-3</v>
      </c>
      <c r="AF63" s="25"/>
      <c r="AG63" s="25">
        <v>9.3500000000000007E-3</v>
      </c>
      <c r="AH63" s="25"/>
      <c r="AI63" s="25">
        <v>9.3500000000000007E-3</v>
      </c>
      <c r="AJ63" s="25"/>
      <c r="AK63" s="25">
        <v>9.3500000000000007E-3</v>
      </c>
      <c r="AL63" s="25"/>
      <c r="AM63" s="25" t="s">
        <v>1920</v>
      </c>
      <c r="AN63" s="25" t="s">
        <v>1921</v>
      </c>
      <c r="AO63" s="25">
        <v>0</v>
      </c>
      <c r="AP63" s="25" t="s">
        <v>1250</v>
      </c>
      <c r="AQ63" s="204">
        <v>150000</v>
      </c>
      <c r="AR63" s="25">
        <v>0</v>
      </c>
      <c r="AS63" s="25" t="s">
        <v>0</v>
      </c>
      <c r="AT63" s="25">
        <v>0</v>
      </c>
      <c r="AU63" s="25" t="s">
        <v>485</v>
      </c>
      <c r="AV63" s="25">
        <v>5000</v>
      </c>
      <c r="AW63" s="25">
        <v>127.91</v>
      </c>
      <c r="AX63" s="25" t="s">
        <v>0</v>
      </c>
      <c r="AY63" s="25">
        <v>0</v>
      </c>
      <c r="AZ63" s="25">
        <v>385</v>
      </c>
      <c r="BA63" s="25">
        <v>460</v>
      </c>
      <c r="BB63" s="25">
        <v>385</v>
      </c>
      <c r="BC63" s="25">
        <v>385</v>
      </c>
      <c r="BD63" s="25">
        <v>385</v>
      </c>
      <c r="BE63" s="25">
        <v>385</v>
      </c>
      <c r="BF63" s="25">
        <v>385</v>
      </c>
      <c r="BG63" s="25">
        <v>385</v>
      </c>
      <c r="BH63" s="25">
        <v>385</v>
      </c>
      <c r="BI63" s="25">
        <v>385</v>
      </c>
      <c r="BJ63" s="25">
        <v>385</v>
      </c>
      <c r="BK63" s="25">
        <v>385</v>
      </c>
      <c r="BL63" s="25" t="s">
        <v>1922</v>
      </c>
      <c r="BM63" s="25" t="s">
        <v>1923</v>
      </c>
      <c r="BN63" s="25" t="s">
        <v>1924</v>
      </c>
      <c r="BO63" s="25" t="s">
        <v>507</v>
      </c>
      <c r="BP63" s="25" t="s">
        <v>497</v>
      </c>
      <c r="BQ63" s="25" t="s">
        <v>501</v>
      </c>
      <c r="BR63" s="25" t="s">
        <v>1925</v>
      </c>
      <c r="BS63" s="25" t="s">
        <v>136</v>
      </c>
      <c r="BT63" s="25" t="s">
        <v>2</v>
      </c>
      <c r="BU63" s="25" t="s">
        <v>489</v>
      </c>
      <c r="BV63" s="25" t="s">
        <v>1926</v>
      </c>
      <c r="BW63" s="25" t="s">
        <v>1927</v>
      </c>
      <c r="BX63" s="25" t="s">
        <v>1928</v>
      </c>
      <c r="BY63" s="25">
        <v>90</v>
      </c>
      <c r="BZ63" s="25">
        <v>130</v>
      </c>
      <c r="CA63" s="25" t="s">
        <v>2</v>
      </c>
      <c r="CB63" s="25" t="s">
        <v>2</v>
      </c>
      <c r="CC63" s="25" t="s">
        <v>2</v>
      </c>
      <c r="CD63" s="25" t="s">
        <v>1781</v>
      </c>
      <c r="CE63" s="25" t="s">
        <v>493</v>
      </c>
      <c r="CF63" s="25" t="s">
        <v>1929</v>
      </c>
      <c r="CG63" s="25" t="s">
        <v>216</v>
      </c>
      <c r="CH63" s="25" t="s">
        <v>1919</v>
      </c>
      <c r="CI63" s="25" t="s">
        <v>2</v>
      </c>
      <c r="CJ63" s="25" t="s">
        <v>2</v>
      </c>
      <c r="CK63" s="25">
        <v>2000</v>
      </c>
      <c r="CL63" s="25" t="s">
        <v>2</v>
      </c>
      <c r="CM63" s="25" t="s">
        <v>2</v>
      </c>
      <c r="CN63" s="25" t="s">
        <v>220</v>
      </c>
      <c r="CO63" s="25" t="s">
        <v>1912</v>
      </c>
      <c r="CP63" s="25" t="s">
        <v>1930</v>
      </c>
      <c r="CQ63" s="25" t="s">
        <v>1931</v>
      </c>
      <c r="CR63" s="25" t="s">
        <v>1932</v>
      </c>
      <c r="CS63" s="25" t="s">
        <v>3</v>
      </c>
      <c r="CT63" s="25" t="s">
        <v>0</v>
      </c>
      <c r="CU63" s="25">
        <v>0</v>
      </c>
      <c r="CV63" s="199" t="str">
        <f t="shared" si="5"/>
        <v>AP5570</v>
      </c>
      <c r="CW63" s="199" t="str">
        <f t="shared" si="6"/>
        <v>Fujifilm Business Innovation</v>
      </c>
      <c r="CX63" s="199" t="str">
        <f>IF(Data!D63="E","Entry",IF(Data!D63="L","Low",IF(Data!D63="M","Medium","High")))</f>
        <v>Medium</v>
      </c>
      <c r="CY63" s="206" t="str">
        <f t="shared" si="7"/>
        <v>MFD-BW_FBI_M_3Y</v>
      </c>
    </row>
    <row r="64" spans="1:103" ht="20.100000000000001" customHeight="1" x14ac:dyDescent="0.2">
      <c r="A64" s="25" t="s">
        <v>2307</v>
      </c>
      <c r="B64" s="25" t="s">
        <v>434</v>
      </c>
      <c r="C64" s="200" t="s">
        <v>2013</v>
      </c>
      <c r="D64" s="199" t="s">
        <v>432</v>
      </c>
      <c r="E64" s="199">
        <v>1</v>
      </c>
      <c r="F64" s="203" t="s">
        <v>157</v>
      </c>
      <c r="G64" s="238" t="s">
        <v>2308</v>
      </c>
      <c r="H64" s="299" t="s">
        <v>2309</v>
      </c>
      <c r="I64" s="199">
        <v>65</v>
      </c>
      <c r="J64" s="308">
        <v>5000000</v>
      </c>
      <c r="K64" s="308">
        <v>350000</v>
      </c>
      <c r="L64" s="309">
        <v>9264.2000000000007</v>
      </c>
      <c r="M64" s="310">
        <v>6.6000000000000008E-3</v>
      </c>
      <c r="N64" s="25"/>
      <c r="O64" s="311">
        <v>9.3500000000000007E-3</v>
      </c>
      <c r="P64" s="25"/>
      <c r="Q64" s="25">
        <v>1.2474000000000002E-2</v>
      </c>
      <c r="R64" s="25"/>
      <c r="S64" s="25">
        <v>9.3500000000000007E-3</v>
      </c>
      <c r="T64" s="25"/>
      <c r="U64" s="25">
        <v>9.3500000000000007E-3</v>
      </c>
      <c r="V64" s="25"/>
      <c r="W64" s="25">
        <v>9.3500000000000007E-3</v>
      </c>
      <c r="X64" s="25"/>
      <c r="Y64" s="25">
        <v>9.3500000000000007E-3</v>
      </c>
      <c r="Z64" s="25"/>
      <c r="AA64" s="25">
        <v>9.3500000000000007E-3</v>
      </c>
      <c r="AB64" s="25"/>
      <c r="AC64" s="25">
        <v>9.3500000000000007E-3</v>
      </c>
      <c r="AD64" s="25"/>
      <c r="AE64" s="25">
        <v>9.3500000000000007E-3</v>
      </c>
      <c r="AF64" s="25"/>
      <c r="AG64" s="25">
        <v>9.3500000000000007E-3</v>
      </c>
      <c r="AH64" s="25"/>
      <c r="AI64" s="25">
        <v>9.3500000000000007E-3</v>
      </c>
      <c r="AJ64" s="25"/>
      <c r="AK64" s="25">
        <v>9.3500000000000007E-3</v>
      </c>
      <c r="AL64" s="25"/>
      <c r="AM64" s="25" t="s">
        <v>508</v>
      </c>
      <c r="AN64" s="25" t="s">
        <v>509</v>
      </c>
      <c r="AO64" s="25">
        <v>0</v>
      </c>
      <c r="AP64" s="25" t="s">
        <v>1250</v>
      </c>
      <c r="AQ64" s="204">
        <v>387000</v>
      </c>
      <c r="AR64" s="25">
        <v>0</v>
      </c>
      <c r="AS64" s="25" t="s">
        <v>0</v>
      </c>
      <c r="AT64" s="25">
        <v>0</v>
      </c>
      <c r="AU64" s="25" t="s">
        <v>485</v>
      </c>
      <c r="AV64" s="25">
        <v>5000</v>
      </c>
      <c r="AW64" s="25">
        <v>0</v>
      </c>
      <c r="AX64" s="25" t="s">
        <v>510</v>
      </c>
      <c r="AY64" s="25">
        <v>0</v>
      </c>
      <c r="AZ64" s="25">
        <v>385</v>
      </c>
      <c r="BA64" s="25">
        <v>460</v>
      </c>
      <c r="BB64" s="25">
        <v>385</v>
      </c>
      <c r="BC64" s="25">
        <v>385</v>
      </c>
      <c r="BD64" s="25">
        <v>385</v>
      </c>
      <c r="BE64" s="25">
        <v>385</v>
      </c>
      <c r="BF64" s="25">
        <v>385</v>
      </c>
      <c r="BG64" s="25">
        <v>385</v>
      </c>
      <c r="BH64" s="25">
        <v>385</v>
      </c>
      <c r="BI64" s="25">
        <v>385</v>
      </c>
      <c r="BJ64" s="25">
        <v>385</v>
      </c>
      <c r="BK64" s="25">
        <v>385</v>
      </c>
      <c r="BL64" s="25" t="s">
        <v>486</v>
      </c>
      <c r="BM64" s="25" t="s">
        <v>511</v>
      </c>
      <c r="BN64" s="25" t="s">
        <v>500</v>
      </c>
      <c r="BO64" s="25" t="s">
        <v>512</v>
      </c>
      <c r="BP64" s="25" t="s">
        <v>513</v>
      </c>
      <c r="BQ64" s="25" t="s">
        <v>192</v>
      </c>
      <c r="BR64" s="25" t="s">
        <v>111</v>
      </c>
      <c r="BS64" s="25" t="s">
        <v>502</v>
      </c>
      <c r="BT64" s="25" t="s">
        <v>2</v>
      </c>
      <c r="BU64" s="25" t="s">
        <v>489</v>
      </c>
      <c r="BV64" s="25" t="s">
        <v>514</v>
      </c>
      <c r="BW64" s="25" t="s">
        <v>515</v>
      </c>
      <c r="BX64" s="25" t="s">
        <v>516</v>
      </c>
      <c r="BY64" s="25">
        <v>100</v>
      </c>
      <c r="BZ64" s="25">
        <v>250</v>
      </c>
      <c r="CA64" s="25" t="s">
        <v>2</v>
      </c>
      <c r="CB64" s="25" t="s">
        <v>2</v>
      </c>
      <c r="CC64" s="25" t="s">
        <v>2</v>
      </c>
      <c r="CD64" s="25" t="s">
        <v>2</v>
      </c>
      <c r="CE64" s="25" t="s">
        <v>493</v>
      </c>
      <c r="CF64" s="25" t="s">
        <v>517</v>
      </c>
      <c r="CG64" s="25" t="s">
        <v>216</v>
      </c>
      <c r="CH64" s="25" t="s">
        <v>518</v>
      </c>
      <c r="CI64" s="25" t="s">
        <v>2</v>
      </c>
      <c r="CJ64" s="25" t="s">
        <v>2</v>
      </c>
      <c r="CK64" s="25">
        <v>2000</v>
      </c>
      <c r="CL64" s="25" t="s">
        <v>2</v>
      </c>
      <c r="CM64" s="25" t="s">
        <v>2</v>
      </c>
      <c r="CN64" s="25" t="s">
        <v>220</v>
      </c>
      <c r="CO64" s="25" t="s">
        <v>503</v>
      </c>
      <c r="CP64" s="25" t="s">
        <v>504</v>
      </c>
      <c r="CQ64" s="25" t="s">
        <v>505</v>
      </c>
      <c r="CR64" s="25" t="s">
        <v>506</v>
      </c>
      <c r="CS64" s="25" t="s">
        <v>3</v>
      </c>
      <c r="CT64" s="25" t="s">
        <v>0</v>
      </c>
      <c r="CU64" s="25">
        <v>0</v>
      </c>
      <c r="CV64" s="199" t="str">
        <f t="shared" si="5"/>
        <v>AP5B6080-A</v>
      </c>
      <c r="CW64" s="199" t="str">
        <f t="shared" si="6"/>
        <v>Fujifilm Business Innovation</v>
      </c>
      <c r="CX64" s="199" t="str">
        <f>IF(Data!D64="E","Entry",IF(Data!D64="L","Low",IF(Data!D64="M","Medium","High")))</f>
        <v>High</v>
      </c>
      <c r="CY64" s="206" t="str">
        <f t="shared" si="7"/>
        <v>MFD-BW_FBI_H_1Y</v>
      </c>
    </row>
    <row r="65" spans="1:103" ht="20.100000000000001" customHeight="1" x14ac:dyDescent="0.2">
      <c r="A65" s="25" t="s">
        <v>2310</v>
      </c>
      <c r="B65" s="25" t="s">
        <v>434</v>
      </c>
      <c r="C65" s="200" t="s">
        <v>2013</v>
      </c>
      <c r="D65" s="199" t="s">
        <v>432</v>
      </c>
      <c r="E65" s="199">
        <v>2</v>
      </c>
      <c r="F65" s="203" t="s">
        <v>157</v>
      </c>
      <c r="G65" s="238" t="s">
        <v>2311</v>
      </c>
      <c r="H65" s="299" t="s">
        <v>2312</v>
      </c>
      <c r="I65" s="199">
        <v>75</v>
      </c>
      <c r="J65" s="308">
        <v>5000000</v>
      </c>
      <c r="K65" s="308">
        <v>350000</v>
      </c>
      <c r="L65" s="309">
        <v>10741.5</v>
      </c>
      <c r="M65" s="310">
        <v>6.6000000000000008E-3</v>
      </c>
      <c r="N65" s="25"/>
      <c r="O65" s="311">
        <v>9.3500000000000007E-3</v>
      </c>
      <c r="P65" s="25"/>
      <c r="Q65" s="25">
        <v>1.2474000000000002E-2</v>
      </c>
      <c r="R65" s="25"/>
      <c r="S65" s="25">
        <v>9.3500000000000007E-3</v>
      </c>
      <c r="T65" s="25"/>
      <c r="U65" s="25">
        <v>9.3500000000000007E-3</v>
      </c>
      <c r="V65" s="25"/>
      <c r="W65" s="25">
        <v>9.3500000000000007E-3</v>
      </c>
      <c r="X65" s="25"/>
      <c r="Y65" s="25">
        <v>9.3500000000000007E-3</v>
      </c>
      <c r="Z65" s="25"/>
      <c r="AA65" s="25">
        <v>9.3500000000000007E-3</v>
      </c>
      <c r="AB65" s="25"/>
      <c r="AC65" s="25">
        <v>9.3500000000000007E-3</v>
      </c>
      <c r="AD65" s="25"/>
      <c r="AE65" s="25">
        <v>9.3500000000000007E-3</v>
      </c>
      <c r="AF65" s="25"/>
      <c r="AG65" s="25">
        <v>9.3500000000000007E-3</v>
      </c>
      <c r="AH65" s="25"/>
      <c r="AI65" s="25">
        <v>9.3500000000000007E-3</v>
      </c>
      <c r="AJ65" s="25"/>
      <c r="AK65" s="25">
        <v>9.3500000000000007E-3</v>
      </c>
      <c r="AL65" s="25"/>
      <c r="AM65" s="25" t="s">
        <v>508</v>
      </c>
      <c r="AN65" s="25" t="s">
        <v>509</v>
      </c>
      <c r="AO65" s="25">
        <v>0</v>
      </c>
      <c r="AP65" s="25" t="s">
        <v>1250</v>
      </c>
      <c r="AQ65" s="204">
        <v>446000</v>
      </c>
      <c r="AR65" s="25">
        <v>0</v>
      </c>
      <c r="AS65" s="25" t="s">
        <v>0</v>
      </c>
      <c r="AT65" s="25">
        <v>0</v>
      </c>
      <c r="AU65" s="25" t="s">
        <v>485</v>
      </c>
      <c r="AV65" s="25">
        <v>5000</v>
      </c>
      <c r="AW65" s="25">
        <v>0</v>
      </c>
      <c r="AX65" s="25" t="s">
        <v>510</v>
      </c>
      <c r="AY65" s="25">
        <v>0</v>
      </c>
      <c r="AZ65" s="25">
        <v>385</v>
      </c>
      <c r="BA65" s="25">
        <v>460</v>
      </c>
      <c r="BB65" s="25">
        <v>385</v>
      </c>
      <c r="BC65" s="25">
        <v>385</v>
      </c>
      <c r="BD65" s="25">
        <v>385</v>
      </c>
      <c r="BE65" s="25">
        <v>385</v>
      </c>
      <c r="BF65" s="25">
        <v>385</v>
      </c>
      <c r="BG65" s="25">
        <v>385</v>
      </c>
      <c r="BH65" s="25">
        <v>385</v>
      </c>
      <c r="BI65" s="25">
        <v>385</v>
      </c>
      <c r="BJ65" s="25">
        <v>385</v>
      </c>
      <c r="BK65" s="25">
        <v>385</v>
      </c>
      <c r="BL65" s="25" t="s">
        <v>486</v>
      </c>
      <c r="BM65" s="25" t="s">
        <v>511</v>
      </c>
      <c r="BN65" s="25" t="s">
        <v>500</v>
      </c>
      <c r="BO65" s="25" t="s">
        <v>519</v>
      </c>
      <c r="BP65" s="25" t="s">
        <v>513</v>
      </c>
      <c r="BQ65" s="25" t="s">
        <v>192</v>
      </c>
      <c r="BR65" s="25" t="s">
        <v>111</v>
      </c>
      <c r="BS65" s="25" t="s">
        <v>502</v>
      </c>
      <c r="BT65" s="25" t="s">
        <v>2</v>
      </c>
      <c r="BU65" s="25" t="s">
        <v>489</v>
      </c>
      <c r="BV65" s="25" t="s">
        <v>514</v>
      </c>
      <c r="BW65" s="25" t="s">
        <v>515</v>
      </c>
      <c r="BX65" s="25" t="s">
        <v>516</v>
      </c>
      <c r="BY65" s="25">
        <v>100</v>
      </c>
      <c r="BZ65" s="25">
        <v>250</v>
      </c>
      <c r="CA65" s="25" t="s">
        <v>2</v>
      </c>
      <c r="CB65" s="25" t="s">
        <v>2</v>
      </c>
      <c r="CC65" s="25" t="s">
        <v>2</v>
      </c>
      <c r="CD65" s="25" t="s">
        <v>2</v>
      </c>
      <c r="CE65" s="25" t="s">
        <v>493</v>
      </c>
      <c r="CF65" s="25" t="s">
        <v>517</v>
      </c>
      <c r="CG65" s="25" t="s">
        <v>2095</v>
      </c>
      <c r="CH65" s="25" t="s">
        <v>520</v>
      </c>
      <c r="CI65" s="25" t="s">
        <v>2</v>
      </c>
      <c r="CJ65" s="25" t="s">
        <v>2</v>
      </c>
      <c r="CK65" s="25">
        <v>2000</v>
      </c>
      <c r="CL65" s="25" t="s">
        <v>2</v>
      </c>
      <c r="CM65" s="25" t="s">
        <v>2</v>
      </c>
      <c r="CN65" s="25" t="s">
        <v>220</v>
      </c>
      <c r="CO65" s="25" t="s">
        <v>503</v>
      </c>
      <c r="CP65" s="25" t="s">
        <v>504</v>
      </c>
      <c r="CQ65" s="25" t="s">
        <v>505</v>
      </c>
      <c r="CR65" s="25" t="s">
        <v>506</v>
      </c>
      <c r="CS65" s="25" t="s">
        <v>3</v>
      </c>
      <c r="CT65" s="25" t="s">
        <v>0</v>
      </c>
      <c r="CU65" s="25">
        <v>0</v>
      </c>
      <c r="CV65" s="199" t="str">
        <f t="shared" si="5"/>
        <v>AP5B7080-A</v>
      </c>
      <c r="CW65" s="199" t="str">
        <f t="shared" si="6"/>
        <v>Fujifilm Business Innovation</v>
      </c>
      <c r="CX65" s="199" t="str">
        <f>IF(Data!D65="E","Entry",IF(Data!D65="L","Low",IF(Data!D65="M","Medium","High")))</f>
        <v>High</v>
      </c>
      <c r="CY65" s="206" t="e">
        <f>A65&amp;IF(#REF!="Not Offered","N","Y")</f>
        <v>#REF!</v>
      </c>
    </row>
    <row r="66" spans="1:103" ht="20.100000000000001" customHeight="1" x14ac:dyDescent="0.2">
      <c r="A66" s="26" t="s">
        <v>2313</v>
      </c>
      <c r="B66" s="26" t="s">
        <v>434</v>
      </c>
      <c r="C66" s="27" t="s">
        <v>2013</v>
      </c>
      <c r="D66" s="186" t="s">
        <v>432</v>
      </c>
      <c r="E66" s="186">
        <v>3</v>
      </c>
      <c r="F66" s="203" t="s">
        <v>157</v>
      </c>
      <c r="G66" s="186" t="s">
        <v>2314</v>
      </c>
      <c r="H66" s="186" t="s">
        <v>2314</v>
      </c>
      <c r="I66" s="186">
        <v>125</v>
      </c>
      <c r="J66" s="189">
        <v>36000000</v>
      </c>
      <c r="K66" s="189">
        <v>1000000</v>
      </c>
      <c r="L66" s="26">
        <v>17148.75</v>
      </c>
      <c r="M66" s="26">
        <v>6.6000000000000008E-3</v>
      </c>
      <c r="N66" s="26"/>
      <c r="O66" s="26">
        <v>9.9000000000000025E-3</v>
      </c>
      <c r="P66" s="26"/>
      <c r="Q66" s="26">
        <v>1.2474000000000002E-2</v>
      </c>
      <c r="R66" s="26"/>
      <c r="S66" s="26">
        <v>9.9000000000000025E-3</v>
      </c>
      <c r="T66" s="26"/>
      <c r="U66" s="26">
        <v>9.9000000000000025E-3</v>
      </c>
      <c r="V66" s="26"/>
      <c r="W66" s="26">
        <v>9.9000000000000025E-3</v>
      </c>
      <c r="X66" s="26"/>
      <c r="Y66" s="26">
        <v>9.9000000000000025E-3</v>
      </c>
      <c r="Z66" s="26"/>
      <c r="AA66" s="26">
        <v>9.9000000000000025E-3</v>
      </c>
      <c r="AB66" s="26"/>
      <c r="AC66" s="26">
        <v>9.9000000000000025E-3</v>
      </c>
      <c r="AD66" s="26"/>
      <c r="AE66" s="26">
        <v>9.9000000000000025E-3</v>
      </c>
      <c r="AF66" s="26"/>
      <c r="AG66" s="26">
        <v>9.9000000000000025E-3</v>
      </c>
      <c r="AH66" s="26"/>
      <c r="AI66" s="26">
        <v>9.9000000000000025E-3</v>
      </c>
      <c r="AJ66" s="26"/>
      <c r="AK66" s="26">
        <v>9.9000000000000025E-3</v>
      </c>
      <c r="AL66" s="26"/>
      <c r="AM66" s="26" t="s">
        <v>2315</v>
      </c>
      <c r="AN66" s="26" t="s">
        <v>2316</v>
      </c>
      <c r="AO66" s="26">
        <v>0</v>
      </c>
      <c r="AP66" s="26" t="s">
        <v>1250</v>
      </c>
      <c r="AQ66" s="189" t="s">
        <v>2317</v>
      </c>
      <c r="AR66" s="26">
        <v>0</v>
      </c>
      <c r="AS66" s="26" t="s">
        <v>0</v>
      </c>
      <c r="AT66" s="26">
        <v>0</v>
      </c>
      <c r="AU66" s="26" t="s">
        <v>485</v>
      </c>
      <c r="AV66" s="26">
        <v>5000</v>
      </c>
      <c r="AW66" s="26">
        <v>0</v>
      </c>
      <c r="AX66" s="26" t="s">
        <v>2318</v>
      </c>
      <c r="AY66" s="26">
        <v>0</v>
      </c>
      <c r="AZ66" s="26">
        <v>385</v>
      </c>
      <c r="BA66" s="26">
        <v>460</v>
      </c>
      <c r="BB66" s="26">
        <v>385</v>
      </c>
      <c r="BC66" s="26">
        <v>385</v>
      </c>
      <c r="BD66" s="26">
        <v>385</v>
      </c>
      <c r="BE66" s="26">
        <v>385</v>
      </c>
      <c r="BF66" s="26">
        <v>385</v>
      </c>
      <c r="BG66" s="26">
        <v>385</v>
      </c>
      <c r="BH66" s="26">
        <v>385</v>
      </c>
      <c r="BI66" s="26">
        <v>385</v>
      </c>
      <c r="BJ66" s="26">
        <v>385</v>
      </c>
      <c r="BK66" s="26">
        <v>385</v>
      </c>
      <c r="BL66" s="26" t="s">
        <v>2319</v>
      </c>
      <c r="BM66" s="26" t="s">
        <v>2320</v>
      </c>
      <c r="BN66" s="26" t="s">
        <v>2321</v>
      </c>
      <c r="BO66" s="26" t="s">
        <v>2322</v>
      </c>
      <c r="BP66" s="26" t="s">
        <v>2323</v>
      </c>
      <c r="BQ66" s="26" t="s">
        <v>2324</v>
      </c>
      <c r="BR66" s="26" t="s">
        <v>2325</v>
      </c>
      <c r="BS66" s="26" t="s">
        <v>502</v>
      </c>
      <c r="BT66" s="26" t="s">
        <v>2</v>
      </c>
      <c r="BU66" s="26" t="s">
        <v>2326</v>
      </c>
      <c r="BV66" s="26" t="s">
        <v>2327</v>
      </c>
      <c r="BW66" s="26" t="s">
        <v>2328</v>
      </c>
      <c r="BX66" s="26" t="s">
        <v>2329</v>
      </c>
      <c r="BY66" s="26" t="s">
        <v>2330</v>
      </c>
      <c r="BZ66" s="26">
        <v>250</v>
      </c>
      <c r="CA66" s="26" t="s">
        <v>2</v>
      </c>
      <c r="CB66" s="26" t="s">
        <v>2</v>
      </c>
      <c r="CC66" s="26" t="s">
        <v>2</v>
      </c>
      <c r="CD66" s="26" t="s">
        <v>2</v>
      </c>
      <c r="CE66" s="26" t="s">
        <v>493</v>
      </c>
      <c r="CF66" s="26" t="s">
        <v>2331</v>
      </c>
      <c r="CG66" s="26" t="s">
        <v>216</v>
      </c>
      <c r="CH66" s="26" t="s">
        <v>2332</v>
      </c>
      <c r="CI66" s="26" t="s">
        <v>2</v>
      </c>
      <c r="CJ66" s="26" t="s">
        <v>2</v>
      </c>
      <c r="CK66" s="26">
        <v>2000</v>
      </c>
      <c r="CL66" s="26" t="s">
        <v>2</v>
      </c>
      <c r="CM66" s="26" t="s">
        <v>2</v>
      </c>
      <c r="CN66" s="26" t="s">
        <v>220</v>
      </c>
      <c r="CO66" s="26" t="s">
        <v>2333</v>
      </c>
      <c r="CP66" s="26" t="s">
        <v>2334</v>
      </c>
      <c r="CQ66" s="26" t="s">
        <v>2335</v>
      </c>
      <c r="CR66" s="26" t="s">
        <v>2336</v>
      </c>
      <c r="CS66" s="26" t="s">
        <v>3</v>
      </c>
      <c r="CT66" s="26" t="s">
        <v>0</v>
      </c>
      <c r="CU66" s="26">
        <v>0</v>
      </c>
      <c r="CV66" s="186" t="str">
        <f t="shared" ref="CV66" si="14">G66</f>
        <v>B9125</v>
      </c>
      <c r="CW66" s="186" t="str">
        <f t="shared" ref="CW66:CW97" si="15">C66</f>
        <v>Fujifilm Business Innovation</v>
      </c>
      <c r="CX66" s="186" t="str">
        <f>IF(Data!D66="E","Entry",IF(Data!D66="L","Low",IF(Data!D66="M","Medium","High")))</f>
        <v>High</v>
      </c>
      <c r="CY66" s="187" t="str">
        <f t="shared" ref="CY66:CY97" si="16">A66&amp;IF(H66="Not Offered","N","Y")</f>
        <v>MFD-BW_FBI_H_3Y</v>
      </c>
    </row>
    <row r="67" spans="1:103" ht="20.100000000000001" customHeight="1" x14ac:dyDescent="0.2">
      <c r="A67" s="26" t="s">
        <v>521</v>
      </c>
      <c r="B67" s="26" t="s">
        <v>434</v>
      </c>
      <c r="C67" s="27" t="s">
        <v>10</v>
      </c>
      <c r="D67" s="186" t="s">
        <v>403</v>
      </c>
      <c r="E67" s="186">
        <v>1</v>
      </c>
      <c r="F67" s="203" t="s">
        <v>154</v>
      </c>
      <c r="G67" s="199" t="s">
        <v>522</v>
      </c>
      <c r="H67" s="199" t="s">
        <v>523</v>
      </c>
      <c r="I67" s="199">
        <v>22</v>
      </c>
      <c r="J67" s="204">
        <v>600000</v>
      </c>
      <c r="K67" s="204">
        <v>10000</v>
      </c>
      <c r="L67" s="284">
        <f>[1]Sheet1!C11*1.07</f>
        <v>2509.9525000000003</v>
      </c>
      <c r="M67" s="25">
        <v>5.4999999999999997E-3</v>
      </c>
      <c r="N67" s="25"/>
      <c r="O67" s="25">
        <v>2.53E-2</v>
      </c>
      <c r="P67" s="25"/>
      <c r="Q67" s="25">
        <v>2.53E-2</v>
      </c>
      <c r="R67" s="25"/>
      <c r="S67" s="25">
        <v>1.54E-2</v>
      </c>
      <c r="T67" s="25"/>
      <c r="U67" s="25">
        <v>1.0999999999999999E-2</v>
      </c>
      <c r="V67" s="25"/>
      <c r="W67" s="25">
        <v>1.9800000000000002E-2</v>
      </c>
      <c r="X67" s="25"/>
      <c r="Y67" s="25">
        <v>2.53E-2</v>
      </c>
      <c r="Z67" s="25"/>
      <c r="AA67" s="25">
        <v>2.4199999999999999E-2</v>
      </c>
      <c r="AB67" s="25"/>
      <c r="AC67" s="25">
        <v>1.32E-2</v>
      </c>
      <c r="AD67" s="25"/>
      <c r="AE67" s="25">
        <v>2.4199999999999999E-2</v>
      </c>
      <c r="AF67" s="25"/>
      <c r="AG67" s="25">
        <v>2.1999999999999999E-2</v>
      </c>
      <c r="AH67" s="25"/>
      <c r="AI67" s="25">
        <v>2.53E-2</v>
      </c>
      <c r="AJ67" s="25"/>
      <c r="AK67" s="25">
        <v>2.1999999999999999E-2</v>
      </c>
      <c r="AL67" s="25"/>
      <c r="AM67" s="25" t="s">
        <v>524</v>
      </c>
      <c r="AN67" s="25" t="s">
        <v>525</v>
      </c>
      <c r="AO67" s="25">
        <v>35.200000000000003</v>
      </c>
      <c r="AP67" s="25" t="s">
        <v>1250</v>
      </c>
      <c r="AQ67" s="204">
        <v>85000</v>
      </c>
      <c r="AR67" s="25">
        <v>71.5</v>
      </c>
      <c r="AS67" s="25" t="s">
        <v>0</v>
      </c>
      <c r="AT67" s="25" t="s">
        <v>0</v>
      </c>
      <c r="AU67" s="25" t="s">
        <v>526</v>
      </c>
      <c r="AV67" s="25">
        <v>15000</v>
      </c>
      <c r="AW67" s="25">
        <v>135.30000000000001</v>
      </c>
      <c r="AX67" s="25">
        <v>0</v>
      </c>
      <c r="AY67" s="25">
        <v>0</v>
      </c>
      <c r="AZ67" s="25">
        <v>1320</v>
      </c>
      <c r="BA67" s="25">
        <v>1540</v>
      </c>
      <c r="BB67" s="25">
        <v>1034</v>
      </c>
      <c r="BC67" s="25">
        <v>264</v>
      </c>
      <c r="BD67" s="25">
        <v>1232</v>
      </c>
      <c r="BE67" s="25">
        <v>1540</v>
      </c>
      <c r="BF67" s="25">
        <v>1254</v>
      </c>
      <c r="BG67" s="25">
        <v>1078</v>
      </c>
      <c r="BH67" s="25">
        <v>1529</v>
      </c>
      <c r="BI67" s="25">
        <v>1232</v>
      </c>
      <c r="BJ67" s="25">
        <v>1540</v>
      </c>
      <c r="BK67" s="25">
        <v>1232</v>
      </c>
      <c r="BL67" s="25" t="s">
        <v>527</v>
      </c>
      <c r="BM67" s="25" t="s">
        <v>528</v>
      </c>
      <c r="BN67" s="25" t="s">
        <v>529</v>
      </c>
      <c r="BO67" s="25">
        <v>0</v>
      </c>
      <c r="BP67" s="25" t="s">
        <v>0</v>
      </c>
      <c r="BQ67" s="25" t="s">
        <v>530</v>
      </c>
      <c r="BR67" s="25" t="s">
        <v>531</v>
      </c>
      <c r="BS67" s="25" t="s">
        <v>113</v>
      </c>
      <c r="BT67" s="25" t="s">
        <v>2</v>
      </c>
      <c r="BU67" s="25" t="s">
        <v>532</v>
      </c>
      <c r="BV67" s="25" t="s">
        <v>533</v>
      </c>
      <c r="BW67" s="25">
        <v>1100</v>
      </c>
      <c r="BX67" s="25">
        <v>3600</v>
      </c>
      <c r="BY67" s="25" t="s">
        <v>121</v>
      </c>
      <c r="BZ67" s="25" t="s">
        <v>121</v>
      </c>
      <c r="CA67" s="25" t="s">
        <v>2</v>
      </c>
      <c r="CB67" s="25" t="s">
        <v>2</v>
      </c>
      <c r="CC67" s="25" t="s">
        <v>2</v>
      </c>
      <c r="CD67" s="25" t="s">
        <v>2</v>
      </c>
      <c r="CE67" s="25" t="s">
        <v>534</v>
      </c>
      <c r="CF67" s="25" t="s">
        <v>535</v>
      </c>
      <c r="CG67" s="25" t="s">
        <v>55</v>
      </c>
      <c r="CH67" s="25" t="s">
        <v>135</v>
      </c>
      <c r="CI67" s="25" t="s">
        <v>2</v>
      </c>
      <c r="CJ67" s="25" t="s">
        <v>2</v>
      </c>
      <c r="CK67" s="25" t="s">
        <v>57</v>
      </c>
      <c r="CL67" s="25" t="s">
        <v>2</v>
      </c>
      <c r="CM67" s="25" t="s">
        <v>2</v>
      </c>
      <c r="CN67" s="25" t="s">
        <v>136</v>
      </c>
      <c r="CO67" s="25" t="s">
        <v>536</v>
      </c>
      <c r="CP67" s="25" t="s">
        <v>537</v>
      </c>
      <c r="CQ67" s="25" t="s">
        <v>538</v>
      </c>
      <c r="CR67" s="25" t="s">
        <v>539</v>
      </c>
      <c r="CS67" s="25" t="s">
        <v>3</v>
      </c>
      <c r="CT67" s="25">
        <v>0</v>
      </c>
      <c r="CU67" s="26">
        <v>0</v>
      </c>
      <c r="CV67" s="186" t="str">
        <f t="shared" ref="CV67:CV97" si="17">G67</f>
        <v>227b-WA</v>
      </c>
      <c r="CW67" s="186" t="str">
        <f t="shared" si="15"/>
        <v>Konica Minolta</v>
      </c>
      <c r="CX67" s="186" t="str">
        <f>IF(Data!D67="E","Entry",IF(Data!D67="L","Low",IF(Data!D67="M","Medium","High")))</f>
        <v>Entry</v>
      </c>
      <c r="CY67" s="187" t="str">
        <f t="shared" si="16"/>
        <v>MFD-BW_Ko_E_1Y</v>
      </c>
    </row>
    <row r="68" spans="1:103" ht="20.100000000000001" customHeight="1" x14ac:dyDescent="0.2">
      <c r="A68" s="25" t="s">
        <v>540</v>
      </c>
      <c r="B68" s="25" t="s">
        <v>434</v>
      </c>
      <c r="C68" s="200" t="s">
        <v>10</v>
      </c>
      <c r="D68" s="199" t="s">
        <v>435</v>
      </c>
      <c r="E68" s="199">
        <v>1</v>
      </c>
      <c r="F68" s="203" t="s">
        <v>155</v>
      </c>
      <c r="G68" s="199" t="s">
        <v>1973</v>
      </c>
      <c r="H68" s="199" t="s">
        <v>1974</v>
      </c>
      <c r="I68" s="199">
        <v>30</v>
      </c>
      <c r="J68" s="204">
        <v>600000</v>
      </c>
      <c r="K68" s="204">
        <v>10000</v>
      </c>
      <c r="L68" s="284">
        <f>[1]Sheet1!C12*1.07</f>
        <v>3133.7625000000003</v>
      </c>
      <c r="M68" s="25">
        <v>5.4999999999999997E-3</v>
      </c>
      <c r="N68" s="25"/>
      <c r="O68" s="25">
        <v>2.53E-2</v>
      </c>
      <c r="P68" s="25"/>
      <c r="Q68" s="25">
        <v>2.53E-2</v>
      </c>
      <c r="R68" s="25"/>
      <c r="S68" s="25">
        <v>1.32E-2</v>
      </c>
      <c r="T68" s="25"/>
      <c r="U68" s="25">
        <v>1.0999999999999999E-2</v>
      </c>
      <c r="V68" s="25"/>
      <c r="W68" s="25">
        <v>1.7600000000000001E-2</v>
      </c>
      <c r="X68" s="25"/>
      <c r="Y68" s="25">
        <v>2.53E-2</v>
      </c>
      <c r="Z68" s="25"/>
      <c r="AA68" s="25">
        <v>2.4199999999999999E-2</v>
      </c>
      <c r="AB68" s="25"/>
      <c r="AC68" s="25">
        <v>1.0999999999999999E-2</v>
      </c>
      <c r="AD68" s="25"/>
      <c r="AE68" s="25">
        <v>2.4199999999999999E-2</v>
      </c>
      <c r="AF68" s="25"/>
      <c r="AG68" s="25">
        <v>2.1999999999999999E-2</v>
      </c>
      <c r="AH68" s="25"/>
      <c r="AI68" s="25">
        <v>2.53E-2</v>
      </c>
      <c r="AJ68" s="25"/>
      <c r="AK68" s="25">
        <v>2.1999999999999999E-2</v>
      </c>
      <c r="AL68" s="25"/>
      <c r="AM68" s="25" t="s">
        <v>541</v>
      </c>
      <c r="AN68" s="25" t="s">
        <v>542</v>
      </c>
      <c r="AO68" s="25">
        <v>52.8</v>
      </c>
      <c r="AP68" s="25" t="s">
        <v>1250</v>
      </c>
      <c r="AQ68" s="204">
        <v>265000</v>
      </c>
      <c r="AR68" s="25">
        <v>154</v>
      </c>
      <c r="AS68" s="25" t="s">
        <v>0</v>
      </c>
      <c r="AT68" s="25" t="s">
        <v>0</v>
      </c>
      <c r="AU68" s="25" t="s">
        <v>543</v>
      </c>
      <c r="AV68" s="25">
        <v>15000</v>
      </c>
      <c r="AW68" s="25">
        <v>135.30000000000001</v>
      </c>
      <c r="AX68" s="25">
        <v>0</v>
      </c>
      <c r="AY68" s="25">
        <v>0</v>
      </c>
      <c r="AZ68" s="25">
        <v>1430</v>
      </c>
      <c r="BA68" s="25">
        <v>1980</v>
      </c>
      <c r="BB68" s="25">
        <v>1100</v>
      </c>
      <c r="BC68" s="25">
        <v>330</v>
      </c>
      <c r="BD68" s="25">
        <v>1342</v>
      </c>
      <c r="BE68" s="25">
        <v>1980</v>
      </c>
      <c r="BF68" s="25">
        <v>1540</v>
      </c>
      <c r="BG68" s="25">
        <v>1166</v>
      </c>
      <c r="BH68" s="25">
        <v>1980</v>
      </c>
      <c r="BI68" s="25">
        <v>1342</v>
      </c>
      <c r="BJ68" s="25">
        <v>1980</v>
      </c>
      <c r="BK68" s="25">
        <v>1342</v>
      </c>
      <c r="BL68" s="25" t="s">
        <v>544</v>
      </c>
      <c r="BM68" s="25" t="s">
        <v>545</v>
      </c>
      <c r="BN68" s="25" t="s">
        <v>529</v>
      </c>
      <c r="BO68" s="25">
        <v>0</v>
      </c>
      <c r="BP68" s="205" t="s">
        <v>1782</v>
      </c>
      <c r="BQ68" s="25" t="s">
        <v>546</v>
      </c>
      <c r="BR68" s="25" t="s">
        <v>531</v>
      </c>
      <c r="BS68" s="25" t="s">
        <v>113</v>
      </c>
      <c r="BT68" s="25" t="s">
        <v>2</v>
      </c>
      <c r="BU68" s="25" t="s">
        <v>547</v>
      </c>
      <c r="BV68" s="25" t="s">
        <v>548</v>
      </c>
      <c r="BW68" s="25">
        <v>1150</v>
      </c>
      <c r="BX68" s="25">
        <v>3650</v>
      </c>
      <c r="BY68" s="25" t="s">
        <v>549</v>
      </c>
      <c r="BZ68" s="25" t="s">
        <v>121</v>
      </c>
      <c r="CA68" s="25" t="s">
        <v>2</v>
      </c>
      <c r="CB68" s="25" t="s">
        <v>2</v>
      </c>
      <c r="CC68" s="25" t="s">
        <v>2</v>
      </c>
      <c r="CD68" s="25" t="s">
        <v>2</v>
      </c>
      <c r="CE68" s="25" t="s">
        <v>534</v>
      </c>
      <c r="CF68" s="25" t="s">
        <v>550</v>
      </c>
      <c r="CG68" s="25" t="s">
        <v>55</v>
      </c>
      <c r="CH68" s="25" t="s">
        <v>135</v>
      </c>
      <c r="CI68" s="25" t="s">
        <v>2</v>
      </c>
      <c r="CJ68" s="25" t="s">
        <v>2</v>
      </c>
      <c r="CK68" s="25" t="s">
        <v>57</v>
      </c>
      <c r="CL68" s="25" t="s">
        <v>2</v>
      </c>
      <c r="CM68" s="25" t="s">
        <v>2</v>
      </c>
      <c r="CN68" s="25" t="s">
        <v>136</v>
      </c>
      <c r="CO68" s="25" t="s">
        <v>551</v>
      </c>
      <c r="CP68" s="25" t="s">
        <v>552</v>
      </c>
      <c r="CQ68" s="25" t="s">
        <v>553</v>
      </c>
      <c r="CR68" s="25" t="s">
        <v>554</v>
      </c>
      <c r="CS68" s="25" t="s">
        <v>3</v>
      </c>
      <c r="CT68" s="25">
        <v>0</v>
      </c>
      <c r="CU68" s="25">
        <v>0</v>
      </c>
      <c r="CV68" s="199" t="str">
        <f t="shared" si="17"/>
        <v>300ib1-WA</v>
      </c>
      <c r="CW68" s="199" t="str">
        <f t="shared" si="15"/>
        <v>Konica Minolta</v>
      </c>
      <c r="CX68" s="199" t="str">
        <f>IF(Data!D68="E","Entry",IF(Data!D68="L","Low",IF(Data!D68="M","Medium","High")))</f>
        <v>Low</v>
      </c>
      <c r="CY68" s="206" t="str">
        <f t="shared" si="16"/>
        <v>MFD-BW_Ko_L_1Y</v>
      </c>
    </row>
    <row r="69" spans="1:103" ht="20.100000000000001" customHeight="1" x14ac:dyDescent="0.2">
      <c r="A69" s="25" t="s">
        <v>555</v>
      </c>
      <c r="B69" s="25" t="s">
        <v>434</v>
      </c>
      <c r="C69" s="200" t="s">
        <v>10</v>
      </c>
      <c r="D69" s="199" t="s">
        <v>435</v>
      </c>
      <c r="E69" s="199">
        <v>2</v>
      </c>
      <c r="F69" s="203" t="s">
        <v>155</v>
      </c>
      <c r="G69" s="199" t="s">
        <v>1975</v>
      </c>
      <c r="H69" s="199" t="s">
        <v>1976</v>
      </c>
      <c r="I69" s="199">
        <v>36</v>
      </c>
      <c r="J69" s="204">
        <v>800000</v>
      </c>
      <c r="K69" s="204">
        <v>13333</v>
      </c>
      <c r="L69" s="284">
        <f>[1]Sheet1!C13*1.07</f>
        <v>3369.1625000000004</v>
      </c>
      <c r="M69" s="25">
        <v>5.4999999999999997E-3</v>
      </c>
      <c r="N69" s="25"/>
      <c r="O69" s="25">
        <v>2.53E-2</v>
      </c>
      <c r="P69" s="25"/>
      <c r="Q69" s="25">
        <v>2.53E-2</v>
      </c>
      <c r="R69" s="25"/>
      <c r="S69" s="25">
        <v>1.32E-2</v>
      </c>
      <c r="T69" s="25"/>
      <c r="U69" s="25">
        <v>1.0999999999999999E-2</v>
      </c>
      <c r="V69" s="25"/>
      <c r="W69" s="25">
        <v>1.7600000000000001E-2</v>
      </c>
      <c r="X69" s="25"/>
      <c r="Y69" s="25">
        <v>2.53E-2</v>
      </c>
      <c r="Z69" s="25"/>
      <c r="AA69" s="25">
        <v>2.4199999999999999E-2</v>
      </c>
      <c r="AB69" s="25"/>
      <c r="AC69" s="25">
        <v>1.0999999999999999E-2</v>
      </c>
      <c r="AD69" s="25"/>
      <c r="AE69" s="25">
        <v>2.4199999999999999E-2</v>
      </c>
      <c r="AF69" s="25"/>
      <c r="AG69" s="25">
        <v>1.9800000000000002E-2</v>
      </c>
      <c r="AH69" s="25"/>
      <c r="AI69" s="25">
        <v>2.53E-2</v>
      </c>
      <c r="AJ69" s="25"/>
      <c r="AK69" s="25">
        <v>1.9800000000000002E-2</v>
      </c>
      <c r="AL69" s="25"/>
      <c r="AM69" s="25" t="s">
        <v>541</v>
      </c>
      <c r="AN69" s="25" t="s">
        <v>542</v>
      </c>
      <c r="AO69" s="25">
        <v>52.8</v>
      </c>
      <c r="AP69" s="25" t="s">
        <v>1250</v>
      </c>
      <c r="AQ69" s="204">
        <v>270000</v>
      </c>
      <c r="AR69" s="25">
        <v>154</v>
      </c>
      <c r="AS69" s="25" t="s">
        <v>0</v>
      </c>
      <c r="AT69" s="25" t="s">
        <v>0</v>
      </c>
      <c r="AU69" s="25" t="s">
        <v>543</v>
      </c>
      <c r="AV69" s="25">
        <v>15000</v>
      </c>
      <c r="AW69" s="25">
        <v>135.30000000000001</v>
      </c>
      <c r="AX69" s="25">
        <v>0</v>
      </c>
      <c r="AY69" s="25">
        <v>0</v>
      </c>
      <c r="AZ69" s="25">
        <v>1430</v>
      </c>
      <c r="BA69" s="25">
        <v>2090</v>
      </c>
      <c r="BB69" s="25">
        <v>1122</v>
      </c>
      <c r="BC69" s="25">
        <v>352</v>
      </c>
      <c r="BD69" s="25">
        <v>1386</v>
      </c>
      <c r="BE69" s="25">
        <v>2090</v>
      </c>
      <c r="BF69" s="25">
        <v>1562</v>
      </c>
      <c r="BG69" s="25">
        <v>1210</v>
      </c>
      <c r="BH69" s="25">
        <v>2002</v>
      </c>
      <c r="BI69" s="25">
        <v>1386</v>
      </c>
      <c r="BJ69" s="25">
        <v>2090</v>
      </c>
      <c r="BK69" s="25">
        <v>1386</v>
      </c>
      <c r="BL69" s="25" t="s">
        <v>544</v>
      </c>
      <c r="BM69" s="25" t="s">
        <v>528</v>
      </c>
      <c r="BN69" s="25" t="s">
        <v>529</v>
      </c>
      <c r="BO69" s="25">
        <v>0</v>
      </c>
      <c r="BP69" s="25" t="s">
        <v>0</v>
      </c>
      <c r="BQ69" s="25" t="s">
        <v>556</v>
      </c>
      <c r="BR69" s="25" t="s">
        <v>531</v>
      </c>
      <c r="BS69" s="25" t="s">
        <v>113</v>
      </c>
      <c r="BT69" s="25" t="s">
        <v>2</v>
      </c>
      <c r="BU69" s="25" t="s">
        <v>547</v>
      </c>
      <c r="BV69" s="25" t="s">
        <v>548</v>
      </c>
      <c r="BW69" s="25">
        <v>1150</v>
      </c>
      <c r="BX69" s="25">
        <v>3650</v>
      </c>
      <c r="BY69" s="25" t="s">
        <v>549</v>
      </c>
      <c r="BZ69" s="25" t="s">
        <v>121</v>
      </c>
      <c r="CA69" s="25" t="s">
        <v>2</v>
      </c>
      <c r="CB69" s="25" t="s">
        <v>2</v>
      </c>
      <c r="CC69" s="25" t="s">
        <v>2</v>
      </c>
      <c r="CD69" s="25" t="s">
        <v>2</v>
      </c>
      <c r="CE69" s="25" t="s">
        <v>534</v>
      </c>
      <c r="CF69" s="25" t="s">
        <v>557</v>
      </c>
      <c r="CG69" s="25" t="s">
        <v>55</v>
      </c>
      <c r="CH69" s="25" t="s">
        <v>135</v>
      </c>
      <c r="CI69" s="25" t="s">
        <v>2</v>
      </c>
      <c r="CJ69" s="25" t="s">
        <v>2</v>
      </c>
      <c r="CK69" s="25" t="s">
        <v>57</v>
      </c>
      <c r="CL69" s="25" t="s">
        <v>2</v>
      </c>
      <c r="CM69" s="25" t="s">
        <v>2</v>
      </c>
      <c r="CN69" s="25" t="s">
        <v>136</v>
      </c>
      <c r="CO69" s="25" t="s">
        <v>558</v>
      </c>
      <c r="CP69" s="25" t="s">
        <v>552</v>
      </c>
      <c r="CQ69" s="25" t="s">
        <v>553</v>
      </c>
      <c r="CR69" s="25" t="s">
        <v>554</v>
      </c>
      <c r="CS69" s="25" t="s">
        <v>3</v>
      </c>
      <c r="CT69" s="25">
        <v>0</v>
      </c>
      <c r="CU69" s="25">
        <v>0</v>
      </c>
      <c r="CV69" s="199" t="str">
        <f t="shared" si="17"/>
        <v>360ib1-WA</v>
      </c>
      <c r="CW69" s="199" t="str">
        <f t="shared" si="15"/>
        <v>Konica Minolta</v>
      </c>
      <c r="CX69" s="199" t="str">
        <f>IF(Data!D69="E","Entry",IF(Data!D69="L","Low",IF(Data!D69="M","Medium","High")))</f>
        <v>Low</v>
      </c>
      <c r="CY69" s="206" t="str">
        <f t="shared" si="16"/>
        <v>MFD-BW_Ko_L_2Y</v>
      </c>
    </row>
    <row r="70" spans="1:103" ht="20.100000000000001" customHeight="1" x14ac:dyDescent="0.2">
      <c r="A70" s="26" t="s">
        <v>559</v>
      </c>
      <c r="B70" s="26" t="s">
        <v>434</v>
      </c>
      <c r="C70" s="27" t="s">
        <v>10</v>
      </c>
      <c r="D70" s="186" t="s">
        <v>433</v>
      </c>
      <c r="E70" s="186">
        <v>1</v>
      </c>
      <c r="F70" s="184" t="s">
        <v>156</v>
      </c>
      <c r="G70" s="199" t="s">
        <v>2446</v>
      </c>
      <c r="H70" s="199" t="s">
        <v>2447</v>
      </c>
      <c r="I70" s="186">
        <v>40</v>
      </c>
      <c r="J70" s="189">
        <v>500000</v>
      </c>
      <c r="K70" s="189">
        <v>8400</v>
      </c>
      <c r="L70" s="284">
        <f>[1]Sheet1!C14*1.07</f>
        <v>1588.95</v>
      </c>
      <c r="M70" s="26">
        <v>7.1999999999999998E-3</v>
      </c>
      <c r="N70" s="26"/>
      <c r="O70" s="26">
        <v>4.3999999999999997E-2</v>
      </c>
      <c r="P70" s="26"/>
      <c r="Q70" s="26">
        <v>4.3999999999999997E-2</v>
      </c>
      <c r="R70" s="26"/>
      <c r="S70" s="26">
        <v>2.4199999999999999E-2</v>
      </c>
      <c r="T70" s="26"/>
      <c r="U70" s="26">
        <v>1.32E-2</v>
      </c>
      <c r="V70" s="26"/>
      <c r="W70" s="26">
        <v>1.9800000000000002E-2</v>
      </c>
      <c r="X70" s="26"/>
      <c r="Y70" s="26">
        <v>4.3999999999999997E-2</v>
      </c>
      <c r="Z70" s="26"/>
      <c r="AA70" s="26">
        <v>3.9600000000000003E-2</v>
      </c>
      <c r="AB70" s="26"/>
      <c r="AC70" s="26">
        <v>1.32E-2</v>
      </c>
      <c r="AD70" s="26"/>
      <c r="AE70" s="26">
        <v>4.1799999999999997E-2</v>
      </c>
      <c r="AF70" s="26"/>
      <c r="AG70" s="26">
        <v>2.1999999999999999E-2</v>
      </c>
      <c r="AH70" s="26"/>
      <c r="AI70" s="26">
        <v>4.3999999999999997E-2</v>
      </c>
      <c r="AJ70" s="26"/>
      <c r="AK70" s="26">
        <v>2.1999999999999999E-2</v>
      </c>
      <c r="AL70" s="26"/>
      <c r="AM70" s="26" t="s">
        <v>2448</v>
      </c>
      <c r="AN70" s="26" t="s">
        <v>560</v>
      </c>
      <c r="AO70" s="26">
        <v>221.1</v>
      </c>
      <c r="AP70" s="26" t="s">
        <v>1250</v>
      </c>
      <c r="AQ70" s="189">
        <v>0</v>
      </c>
      <c r="AR70" s="26">
        <v>129.80000000000001</v>
      </c>
      <c r="AS70" s="26" t="s">
        <v>0</v>
      </c>
      <c r="AT70" s="26" t="s">
        <v>0</v>
      </c>
      <c r="AU70" s="26">
        <v>0</v>
      </c>
      <c r="AV70" s="26">
        <v>0</v>
      </c>
      <c r="AW70" s="26">
        <v>0</v>
      </c>
      <c r="AX70" s="26">
        <v>0</v>
      </c>
      <c r="AY70" s="26">
        <v>0</v>
      </c>
      <c r="AZ70" s="26">
        <v>1210</v>
      </c>
      <c r="BA70" s="26">
        <v>1210</v>
      </c>
      <c r="BB70" s="26">
        <v>935</v>
      </c>
      <c r="BC70" s="26">
        <v>165</v>
      </c>
      <c r="BD70" s="26">
        <v>1056</v>
      </c>
      <c r="BE70" s="26">
        <v>1210</v>
      </c>
      <c r="BF70" s="26">
        <v>550</v>
      </c>
      <c r="BG70" s="26">
        <v>1111</v>
      </c>
      <c r="BH70" s="26">
        <v>660</v>
      </c>
      <c r="BI70" s="26">
        <v>1056</v>
      </c>
      <c r="BJ70" s="26">
        <v>1210</v>
      </c>
      <c r="BK70" s="26">
        <v>1111</v>
      </c>
      <c r="BL70" s="26" t="s">
        <v>544</v>
      </c>
      <c r="BM70" s="26" t="s">
        <v>561</v>
      </c>
      <c r="BN70" s="26" t="s">
        <v>562</v>
      </c>
      <c r="BO70" s="26">
        <v>0</v>
      </c>
      <c r="BP70" s="190" t="s">
        <v>1782</v>
      </c>
      <c r="BQ70" s="26" t="s">
        <v>563</v>
      </c>
      <c r="BR70" s="26" t="s">
        <v>112</v>
      </c>
      <c r="BS70" s="26" t="s">
        <v>113</v>
      </c>
      <c r="BT70" s="26" t="s">
        <v>2</v>
      </c>
      <c r="BU70" s="26" t="s">
        <v>564</v>
      </c>
      <c r="BV70" s="26" t="s">
        <v>565</v>
      </c>
      <c r="BW70" s="26">
        <v>550</v>
      </c>
      <c r="BX70" s="26">
        <v>2300</v>
      </c>
      <c r="BY70" s="26" t="s">
        <v>121</v>
      </c>
      <c r="BZ70" s="26" t="s">
        <v>566</v>
      </c>
      <c r="CA70" s="26" t="s">
        <v>2</v>
      </c>
      <c r="CB70" s="26" t="s">
        <v>2</v>
      </c>
      <c r="CC70" s="26" t="s">
        <v>2</v>
      </c>
      <c r="CD70" s="26" t="s">
        <v>2</v>
      </c>
      <c r="CE70" s="26" t="s">
        <v>534</v>
      </c>
      <c r="CF70" s="26" t="s">
        <v>567</v>
      </c>
      <c r="CG70" s="26" t="s">
        <v>55</v>
      </c>
      <c r="CH70" s="26" t="s">
        <v>56</v>
      </c>
      <c r="CI70" s="26" t="s">
        <v>2</v>
      </c>
      <c r="CJ70" s="26" t="s">
        <v>2</v>
      </c>
      <c r="CK70" s="26" t="s">
        <v>57</v>
      </c>
      <c r="CL70" s="26" t="s">
        <v>2</v>
      </c>
      <c r="CM70" s="26" t="s">
        <v>2</v>
      </c>
      <c r="CN70" s="26" t="s">
        <v>136</v>
      </c>
      <c r="CO70" s="26" t="s">
        <v>568</v>
      </c>
      <c r="CP70" s="26" t="s">
        <v>569</v>
      </c>
      <c r="CQ70" s="26" t="s">
        <v>570</v>
      </c>
      <c r="CR70" s="26" t="s">
        <v>571</v>
      </c>
      <c r="CS70" s="26" t="s">
        <v>3</v>
      </c>
      <c r="CT70" s="26">
        <v>0</v>
      </c>
      <c r="CU70" s="26">
        <v>0</v>
      </c>
      <c r="CV70" s="186" t="str">
        <f t="shared" si="17"/>
        <v>4051iB</v>
      </c>
      <c r="CW70" s="186" t="str">
        <f t="shared" si="15"/>
        <v>Konica Minolta</v>
      </c>
      <c r="CX70" s="186" t="str">
        <f>IF(Data!D70="E","Entry",IF(Data!D70="L","Low",IF(Data!D70="M","Medium","High")))</f>
        <v>Medium</v>
      </c>
      <c r="CY70" s="187" t="str">
        <f t="shared" si="16"/>
        <v>MFD-BW_Ko_M_1Y</v>
      </c>
    </row>
    <row r="71" spans="1:103" ht="20.100000000000001" customHeight="1" x14ac:dyDescent="0.2">
      <c r="A71" s="25" t="s">
        <v>572</v>
      </c>
      <c r="B71" s="25" t="s">
        <v>434</v>
      </c>
      <c r="C71" s="200" t="s">
        <v>10</v>
      </c>
      <c r="D71" s="199" t="s">
        <v>433</v>
      </c>
      <c r="E71" s="199">
        <v>2</v>
      </c>
      <c r="F71" s="203" t="s">
        <v>156</v>
      </c>
      <c r="G71" s="199" t="s">
        <v>1977</v>
      </c>
      <c r="H71" s="199" t="s">
        <v>1978</v>
      </c>
      <c r="I71" s="199">
        <v>45</v>
      </c>
      <c r="J71" s="204">
        <v>1800000</v>
      </c>
      <c r="K71" s="204">
        <v>30000</v>
      </c>
      <c r="L71" s="284">
        <f>[1]Sheet1!C15*1.07</f>
        <v>3722.3160000000003</v>
      </c>
      <c r="M71" s="25">
        <v>5.4999999999999997E-3</v>
      </c>
      <c r="N71" s="25"/>
      <c r="O71" s="25">
        <v>2.53E-2</v>
      </c>
      <c r="P71" s="25"/>
      <c r="Q71" s="25">
        <v>2.53E-2</v>
      </c>
      <c r="R71" s="25"/>
      <c r="S71" s="25">
        <v>1.21E-2</v>
      </c>
      <c r="T71" s="25"/>
      <c r="U71" s="25">
        <v>1.0999999999999999E-2</v>
      </c>
      <c r="V71" s="25"/>
      <c r="W71" s="25">
        <v>1.54E-2</v>
      </c>
      <c r="X71" s="25"/>
      <c r="Y71" s="25">
        <v>2.53E-2</v>
      </c>
      <c r="Z71" s="25"/>
      <c r="AA71" s="25">
        <v>2.0899999999999998E-2</v>
      </c>
      <c r="AB71" s="25"/>
      <c r="AC71" s="25">
        <v>1.0999999999999999E-2</v>
      </c>
      <c r="AD71" s="25"/>
      <c r="AE71" s="25">
        <v>2.1999999999999999E-2</v>
      </c>
      <c r="AF71" s="25"/>
      <c r="AG71" s="25">
        <v>2.1999999999999999E-2</v>
      </c>
      <c r="AH71" s="25"/>
      <c r="AI71" s="25">
        <v>2.53E-2</v>
      </c>
      <c r="AJ71" s="25"/>
      <c r="AK71" s="25">
        <v>2.1999999999999999E-2</v>
      </c>
      <c r="AL71" s="25"/>
      <c r="AM71" s="25" t="s">
        <v>573</v>
      </c>
      <c r="AN71" s="25" t="s">
        <v>574</v>
      </c>
      <c r="AO71" s="25">
        <v>41.8</v>
      </c>
      <c r="AP71" s="25" t="s">
        <v>1250</v>
      </c>
      <c r="AQ71" s="204">
        <v>275000</v>
      </c>
      <c r="AR71" s="25">
        <v>154</v>
      </c>
      <c r="AS71" s="25" t="s">
        <v>0</v>
      </c>
      <c r="AT71" s="25" t="s">
        <v>0</v>
      </c>
      <c r="AU71" s="25" t="s">
        <v>543</v>
      </c>
      <c r="AV71" s="25">
        <v>15000</v>
      </c>
      <c r="AW71" s="25">
        <v>135.30000000000001</v>
      </c>
      <c r="AX71" s="25">
        <v>0</v>
      </c>
      <c r="AY71" s="25">
        <v>0</v>
      </c>
      <c r="AZ71" s="25">
        <v>1540</v>
      </c>
      <c r="BA71" s="25">
        <v>2750</v>
      </c>
      <c r="BB71" s="25">
        <v>1155</v>
      </c>
      <c r="BC71" s="25">
        <v>385</v>
      </c>
      <c r="BD71" s="25">
        <v>1452</v>
      </c>
      <c r="BE71" s="25">
        <v>2750</v>
      </c>
      <c r="BF71" s="25">
        <v>1925</v>
      </c>
      <c r="BG71" s="25">
        <v>1441</v>
      </c>
      <c r="BH71" s="25">
        <v>2728</v>
      </c>
      <c r="BI71" s="25">
        <v>1452</v>
      </c>
      <c r="BJ71" s="25">
        <v>2750</v>
      </c>
      <c r="BK71" s="25">
        <v>1452</v>
      </c>
      <c r="BL71" s="25" t="s">
        <v>544</v>
      </c>
      <c r="BM71" s="25" t="s">
        <v>575</v>
      </c>
      <c r="BN71" s="25" t="s">
        <v>529</v>
      </c>
      <c r="BO71" s="25">
        <v>0</v>
      </c>
      <c r="BP71" s="25" t="s">
        <v>0</v>
      </c>
      <c r="BQ71" s="25" t="s">
        <v>576</v>
      </c>
      <c r="BR71" s="25" t="s">
        <v>531</v>
      </c>
      <c r="BS71" s="25" t="s">
        <v>113</v>
      </c>
      <c r="BT71" s="25" t="s">
        <v>2</v>
      </c>
      <c r="BU71" s="25" t="s">
        <v>547</v>
      </c>
      <c r="BV71" s="25" t="s">
        <v>548</v>
      </c>
      <c r="BW71" s="25">
        <v>1150</v>
      </c>
      <c r="BX71" s="25">
        <v>6650</v>
      </c>
      <c r="BY71" s="25" t="s">
        <v>549</v>
      </c>
      <c r="BZ71" s="25" t="s">
        <v>121</v>
      </c>
      <c r="CA71" s="25" t="s">
        <v>2</v>
      </c>
      <c r="CB71" s="25" t="s">
        <v>2</v>
      </c>
      <c r="CC71" s="25" t="s">
        <v>2</v>
      </c>
      <c r="CD71" s="25" t="s">
        <v>2</v>
      </c>
      <c r="CE71" s="25" t="s">
        <v>534</v>
      </c>
      <c r="CF71" s="25" t="s">
        <v>577</v>
      </c>
      <c r="CG71" s="25" t="s">
        <v>55</v>
      </c>
      <c r="CH71" s="25" t="s">
        <v>135</v>
      </c>
      <c r="CI71" s="25" t="s">
        <v>2</v>
      </c>
      <c r="CJ71" s="25" t="s">
        <v>2</v>
      </c>
      <c r="CK71" s="25" t="s">
        <v>57</v>
      </c>
      <c r="CL71" s="25" t="s">
        <v>2</v>
      </c>
      <c r="CM71" s="25" t="s">
        <v>2</v>
      </c>
      <c r="CN71" s="25" t="s">
        <v>136</v>
      </c>
      <c r="CO71" s="25" t="s">
        <v>558</v>
      </c>
      <c r="CP71" s="25" t="s">
        <v>552</v>
      </c>
      <c r="CQ71" s="25" t="s">
        <v>538</v>
      </c>
      <c r="CR71" s="25" t="s">
        <v>554</v>
      </c>
      <c r="CS71" s="25" t="s">
        <v>3</v>
      </c>
      <c r="CT71" s="25">
        <v>0</v>
      </c>
      <c r="CU71" s="25">
        <v>0</v>
      </c>
      <c r="CV71" s="199" t="str">
        <f t="shared" si="17"/>
        <v>450ib1-WA</v>
      </c>
      <c r="CW71" s="199" t="str">
        <f t="shared" si="15"/>
        <v>Konica Minolta</v>
      </c>
      <c r="CX71" s="199" t="str">
        <f>IF(Data!D71="E","Entry",IF(Data!D71="L","Low",IF(Data!D71="M","Medium","High")))</f>
        <v>Medium</v>
      </c>
      <c r="CY71" s="206" t="str">
        <f t="shared" si="16"/>
        <v>MFD-BW_Ko_M_2Y</v>
      </c>
    </row>
    <row r="72" spans="1:103" ht="24.95" customHeight="1" x14ac:dyDescent="0.2">
      <c r="A72" s="26" t="s">
        <v>578</v>
      </c>
      <c r="B72" s="26" t="s">
        <v>434</v>
      </c>
      <c r="C72" s="27" t="s">
        <v>10</v>
      </c>
      <c r="D72" s="186" t="s">
        <v>433</v>
      </c>
      <c r="E72" s="186">
        <v>3</v>
      </c>
      <c r="F72" s="184" t="s">
        <v>156</v>
      </c>
      <c r="G72" s="199" t="s">
        <v>1989</v>
      </c>
      <c r="H72" s="199" t="s">
        <v>1990</v>
      </c>
      <c r="I72" s="186">
        <v>55</v>
      </c>
      <c r="J72" s="189">
        <v>2000000</v>
      </c>
      <c r="K72" s="189">
        <v>33333</v>
      </c>
      <c r="L72" s="284">
        <f>[1]Sheet1!C16*1.07</f>
        <v>4546.1625000000004</v>
      </c>
      <c r="M72" s="26">
        <v>5.4999999999999997E-3</v>
      </c>
      <c r="N72" s="26"/>
      <c r="O72" s="26">
        <v>2.53E-2</v>
      </c>
      <c r="P72" s="26"/>
      <c r="Q72" s="26">
        <v>2.53E-2</v>
      </c>
      <c r="R72" s="26"/>
      <c r="S72" s="26">
        <v>1.21E-2</v>
      </c>
      <c r="T72" s="26"/>
      <c r="U72" s="26">
        <v>1.0999999999999999E-2</v>
      </c>
      <c r="V72" s="26"/>
      <c r="W72" s="26">
        <v>1.54E-2</v>
      </c>
      <c r="X72" s="26"/>
      <c r="Y72" s="26">
        <v>2.53E-2</v>
      </c>
      <c r="Z72" s="26"/>
      <c r="AA72" s="26">
        <v>2.0899999999999998E-2</v>
      </c>
      <c r="AB72" s="26"/>
      <c r="AC72" s="26">
        <v>1.0999999999999999E-2</v>
      </c>
      <c r="AD72" s="26"/>
      <c r="AE72" s="26">
        <v>2.1999999999999999E-2</v>
      </c>
      <c r="AF72" s="26"/>
      <c r="AG72" s="26">
        <v>1.8700000000000001E-2</v>
      </c>
      <c r="AH72" s="26"/>
      <c r="AI72" s="26">
        <v>2.53E-2</v>
      </c>
      <c r="AJ72" s="26"/>
      <c r="AK72" s="26">
        <v>1.8700000000000001E-2</v>
      </c>
      <c r="AL72" s="26"/>
      <c r="AM72" s="26" t="s">
        <v>573</v>
      </c>
      <c r="AN72" s="26" t="s">
        <v>574</v>
      </c>
      <c r="AO72" s="26">
        <v>41.8</v>
      </c>
      <c r="AP72" s="26" t="s">
        <v>1250</v>
      </c>
      <c r="AQ72" s="189">
        <v>285000</v>
      </c>
      <c r="AR72" s="26">
        <v>154</v>
      </c>
      <c r="AS72" s="26" t="s">
        <v>0</v>
      </c>
      <c r="AT72" s="26" t="s">
        <v>0</v>
      </c>
      <c r="AU72" s="26" t="s">
        <v>543</v>
      </c>
      <c r="AV72" s="26">
        <v>15000</v>
      </c>
      <c r="AW72" s="26">
        <v>135.30000000000001</v>
      </c>
      <c r="AX72" s="26">
        <v>0</v>
      </c>
      <c r="AY72" s="26">
        <v>0</v>
      </c>
      <c r="AZ72" s="26">
        <v>1650</v>
      </c>
      <c r="BA72" s="26">
        <v>2860</v>
      </c>
      <c r="BB72" s="26">
        <v>1243</v>
      </c>
      <c r="BC72" s="26">
        <v>473</v>
      </c>
      <c r="BD72" s="26">
        <v>1606</v>
      </c>
      <c r="BE72" s="26">
        <v>2860</v>
      </c>
      <c r="BF72" s="26">
        <v>2013</v>
      </c>
      <c r="BG72" s="26">
        <v>1562</v>
      </c>
      <c r="BH72" s="26">
        <v>2816</v>
      </c>
      <c r="BI72" s="26">
        <v>1606</v>
      </c>
      <c r="BJ72" s="26">
        <v>2860</v>
      </c>
      <c r="BK72" s="26">
        <v>1606</v>
      </c>
      <c r="BL72" s="26" t="s">
        <v>544</v>
      </c>
      <c r="BM72" s="26" t="s">
        <v>579</v>
      </c>
      <c r="BN72" s="26" t="s">
        <v>580</v>
      </c>
      <c r="BO72" s="26">
        <v>0</v>
      </c>
      <c r="BP72" s="26" t="s">
        <v>0</v>
      </c>
      <c r="BQ72" s="26" t="s">
        <v>581</v>
      </c>
      <c r="BR72" s="26" t="s">
        <v>531</v>
      </c>
      <c r="BS72" s="26" t="s">
        <v>113</v>
      </c>
      <c r="BT72" s="26" t="s">
        <v>2</v>
      </c>
      <c r="BU72" s="26" t="s">
        <v>582</v>
      </c>
      <c r="BV72" s="26" t="s">
        <v>548</v>
      </c>
      <c r="BW72" s="26">
        <v>1150</v>
      </c>
      <c r="BX72" s="26">
        <v>6650</v>
      </c>
      <c r="BY72" s="26" t="s">
        <v>549</v>
      </c>
      <c r="BZ72" s="26" t="s">
        <v>121</v>
      </c>
      <c r="CA72" s="26" t="s">
        <v>2</v>
      </c>
      <c r="CB72" s="26" t="s">
        <v>2</v>
      </c>
      <c r="CC72" s="26" t="s">
        <v>2</v>
      </c>
      <c r="CD72" s="26" t="s">
        <v>2</v>
      </c>
      <c r="CE72" s="26" t="s">
        <v>534</v>
      </c>
      <c r="CF72" s="26" t="s">
        <v>583</v>
      </c>
      <c r="CG72" s="26" t="s">
        <v>55</v>
      </c>
      <c r="CH72" s="26" t="s">
        <v>135</v>
      </c>
      <c r="CI72" s="26" t="s">
        <v>2</v>
      </c>
      <c r="CJ72" s="26" t="s">
        <v>2</v>
      </c>
      <c r="CK72" s="26" t="s">
        <v>57</v>
      </c>
      <c r="CL72" s="26" t="s">
        <v>2</v>
      </c>
      <c r="CM72" s="26" t="s">
        <v>2</v>
      </c>
      <c r="CN72" s="26" t="s">
        <v>136</v>
      </c>
      <c r="CO72" s="26" t="s">
        <v>558</v>
      </c>
      <c r="CP72" s="26" t="s">
        <v>552</v>
      </c>
      <c r="CQ72" s="26" t="s">
        <v>538</v>
      </c>
      <c r="CR72" s="26" t="s">
        <v>554</v>
      </c>
      <c r="CS72" s="26" t="s">
        <v>3</v>
      </c>
      <c r="CT72" s="26">
        <v>0</v>
      </c>
      <c r="CU72" s="26">
        <v>0</v>
      </c>
      <c r="CV72" s="186" t="str">
        <f t="shared" si="17"/>
        <v>550ib1-WA</v>
      </c>
      <c r="CW72" s="186" t="str">
        <f t="shared" si="15"/>
        <v>Konica Minolta</v>
      </c>
      <c r="CX72" s="186" t="str">
        <f>IF(Data!D72="E","Entry",IF(Data!D72="L","Low",IF(Data!D72="M","Medium","High")))</f>
        <v>Medium</v>
      </c>
      <c r="CY72" s="187" t="str">
        <f t="shared" si="16"/>
        <v>MFD-BW_Ko_M_3Y</v>
      </c>
    </row>
    <row r="73" spans="1:103" ht="24.95" customHeight="1" x14ac:dyDescent="0.2">
      <c r="A73" s="26" t="s">
        <v>584</v>
      </c>
      <c r="B73" s="26" t="s">
        <v>434</v>
      </c>
      <c r="C73" s="27" t="s">
        <v>10</v>
      </c>
      <c r="D73" s="186" t="s">
        <v>432</v>
      </c>
      <c r="E73" s="186">
        <v>1</v>
      </c>
      <c r="F73" s="184" t="s">
        <v>157</v>
      </c>
      <c r="G73" s="199" t="s">
        <v>1991</v>
      </c>
      <c r="H73" s="199" t="s">
        <v>1992</v>
      </c>
      <c r="I73" s="186">
        <v>65</v>
      </c>
      <c r="J73" s="189">
        <v>2000000</v>
      </c>
      <c r="K73" s="189">
        <v>33333</v>
      </c>
      <c r="L73" s="284">
        <f>[1]Sheet1!C17*1.07</f>
        <v>5840.8625000000002</v>
      </c>
      <c r="M73" s="26">
        <v>5.4999999999999997E-3</v>
      </c>
      <c r="N73" s="26"/>
      <c r="O73" s="26">
        <v>2.53E-2</v>
      </c>
      <c r="P73" s="26"/>
      <c r="Q73" s="26">
        <v>2.53E-2</v>
      </c>
      <c r="R73" s="26"/>
      <c r="S73" s="26">
        <v>1.0999999999999999E-2</v>
      </c>
      <c r="T73" s="26"/>
      <c r="U73" s="26">
        <v>1.0999999999999999E-2</v>
      </c>
      <c r="V73" s="26"/>
      <c r="W73" s="26">
        <v>1.43E-2</v>
      </c>
      <c r="X73" s="26"/>
      <c r="Y73" s="26">
        <v>2.53E-2</v>
      </c>
      <c r="Z73" s="26"/>
      <c r="AA73" s="26">
        <v>1.9800000000000002E-2</v>
      </c>
      <c r="AB73" s="26"/>
      <c r="AC73" s="26">
        <v>1.0999999999999999E-2</v>
      </c>
      <c r="AD73" s="26"/>
      <c r="AE73" s="26">
        <v>1.9800000000000002E-2</v>
      </c>
      <c r="AF73" s="26"/>
      <c r="AG73" s="26">
        <v>1.7600000000000001E-2</v>
      </c>
      <c r="AH73" s="26"/>
      <c r="AI73" s="26">
        <v>2.53E-2</v>
      </c>
      <c r="AJ73" s="26"/>
      <c r="AK73" s="26">
        <v>1.7600000000000001E-2</v>
      </c>
      <c r="AL73" s="26"/>
      <c r="AM73" s="26" t="s">
        <v>573</v>
      </c>
      <c r="AN73" s="26" t="s">
        <v>574</v>
      </c>
      <c r="AO73" s="26">
        <v>41.8</v>
      </c>
      <c r="AP73" s="26" t="s">
        <v>1250</v>
      </c>
      <c r="AQ73" s="189">
        <v>300000</v>
      </c>
      <c r="AR73" s="26">
        <v>154</v>
      </c>
      <c r="AS73" s="26" t="s">
        <v>0</v>
      </c>
      <c r="AT73" s="26" t="s">
        <v>0</v>
      </c>
      <c r="AU73" s="26" t="s">
        <v>543</v>
      </c>
      <c r="AV73" s="26">
        <v>15000</v>
      </c>
      <c r="AW73" s="26">
        <v>135.30000000000001</v>
      </c>
      <c r="AX73" s="26">
        <v>0</v>
      </c>
      <c r="AY73" s="26">
        <v>0</v>
      </c>
      <c r="AZ73" s="26">
        <v>1870</v>
      </c>
      <c r="BA73" s="26">
        <v>3520</v>
      </c>
      <c r="BB73" s="26">
        <v>1375</v>
      </c>
      <c r="BC73" s="26">
        <v>605</v>
      </c>
      <c r="BD73" s="26">
        <v>1848</v>
      </c>
      <c r="BE73" s="26">
        <v>3520</v>
      </c>
      <c r="BF73" s="26">
        <v>2365</v>
      </c>
      <c r="BG73" s="26">
        <v>1760</v>
      </c>
      <c r="BH73" s="26">
        <v>3465</v>
      </c>
      <c r="BI73" s="26">
        <v>1848</v>
      </c>
      <c r="BJ73" s="26">
        <v>3520</v>
      </c>
      <c r="BK73" s="26">
        <v>1848</v>
      </c>
      <c r="BL73" s="26" t="s">
        <v>544</v>
      </c>
      <c r="BM73" s="26" t="s">
        <v>511</v>
      </c>
      <c r="BN73" s="26" t="s">
        <v>580</v>
      </c>
      <c r="BO73" s="26">
        <v>0</v>
      </c>
      <c r="BP73" s="26" t="s">
        <v>0</v>
      </c>
      <c r="BQ73" s="26" t="s">
        <v>585</v>
      </c>
      <c r="BR73" s="26" t="s">
        <v>112</v>
      </c>
      <c r="BS73" s="26" t="s">
        <v>113</v>
      </c>
      <c r="BT73" s="26" t="s">
        <v>2</v>
      </c>
      <c r="BU73" s="26" t="s">
        <v>582</v>
      </c>
      <c r="BV73" s="26" t="s">
        <v>548</v>
      </c>
      <c r="BW73" s="26">
        <v>3650</v>
      </c>
      <c r="BX73" s="26">
        <v>6650</v>
      </c>
      <c r="BY73" s="26" t="s">
        <v>549</v>
      </c>
      <c r="BZ73" s="26" t="s">
        <v>549</v>
      </c>
      <c r="CA73" s="26" t="s">
        <v>2</v>
      </c>
      <c r="CB73" s="26" t="s">
        <v>2</v>
      </c>
      <c r="CC73" s="26" t="s">
        <v>2</v>
      </c>
      <c r="CD73" s="26" t="s">
        <v>2</v>
      </c>
      <c r="CE73" s="26" t="s">
        <v>534</v>
      </c>
      <c r="CF73" s="26" t="s">
        <v>586</v>
      </c>
      <c r="CG73" s="26" t="s">
        <v>587</v>
      </c>
      <c r="CH73" s="26" t="s">
        <v>135</v>
      </c>
      <c r="CI73" s="26" t="s">
        <v>2</v>
      </c>
      <c r="CJ73" s="26" t="s">
        <v>2</v>
      </c>
      <c r="CK73" s="26" t="s">
        <v>57</v>
      </c>
      <c r="CL73" s="26" t="s">
        <v>2</v>
      </c>
      <c r="CM73" s="26" t="s">
        <v>2</v>
      </c>
      <c r="CN73" s="26" t="s">
        <v>136</v>
      </c>
      <c r="CO73" s="26" t="s">
        <v>588</v>
      </c>
      <c r="CP73" s="26" t="s">
        <v>552</v>
      </c>
      <c r="CQ73" s="26" t="s">
        <v>538</v>
      </c>
      <c r="CR73" s="26" t="s">
        <v>589</v>
      </c>
      <c r="CS73" s="26" t="s">
        <v>3</v>
      </c>
      <c r="CT73" s="26">
        <v>0</v>
      </c>
      <c r="CU73" s="26">
        <v>0</v>
      </c>
      <c r="CV73" s="186" t="str">
        <f t="shared" si="17"/>
        <v>650ib1-WA</v>
      </c>
      <c r="CW73" s="186" t="str">
        <f t="shared" si="15"/>
        <v>Konica Minolta</v>
      </c>
      <c r="CX73" s="186" t="str">
        <f>IF(Data!D73="E","Entry",IF(Data!D73="L","Low",IF(Data!D73="M","Medium","High")))</f>
        <v>High</v>
      </c>
      <c r="CY73" s="187" t="str">
        <f t="shared" si="16"/>
        <v>MFD-BW_Ko_H_1Y</v>
      </c>
    </row>
    <row r="74" spans="1:103" ht="24.95" customHeight="1" x14ac:dyDescent="0.2">
      <c r="A74" s="25" t="s">
        <v>590</v>
      </c>
      <c r="B74" s="25" t="s">
        <v>434</v>
      </c>
      <c r="C74" s="200" t="s">
        <v>10</v>
      </c>
      <c r="D74" s="199" t="s">
        <v>432</v>
      </c>
      <c r="E74" s="199">
        <v>2</v>
      </c>
      <c r="F74" s="203" t="s">
        <v>157</v>
      </c>
      <c r="G74" s="199" t="s">
        <v>1979</v>
      </c>
      <c r="H74" s="199" t="s">
        <v>1980</v>
      </c>
      <c r="I74" s="199">
        <v>75</v>
      </c>
      <c r="J74" s="204">
        <v>5000000</v>
      </c>
      <c r="K74" s="204">
        <v>83333</v>
      </c>
      <c r="L74" s="284">
        <f>[1]Sheet1!C18*1.07</f>
        <v>7297.4000000000005</v>
      </c>
      <c r="M74" s="25">
        <v>5.4999999999999997E-3</v>
      </c>
      <c r="N74" s="25"/>
      <c r="O74" s="25">
        <v>2.53E-2</v>
      </c>
      <c r="P74" s="25"/>
      <c r="Q74" s="25">
        <v>2.53E-2</v>
      </c>
      <c r="R74" s="25"/>
      <c r="S74" s="25">
        <v>1.0999999999999999E-2</v>
      </c>
      <c r="T74" s="25"/>
      <c r="U74" s="25">
        <v>1.0999999999999999E-2</v>
      </c>
      <c r="V74" s="25"/>
      <c r="W74" s="25">
        <v>1.43E-2</v>
      </c>
      <c r="X74" s="25"/>
      <c r="Y74" s="25">
        <v>2.53E-2</v>
      </c>
      <c r="Z74" s="25"/>
      <c r="AA74" s="25">
        <v>1.9800000000000002E-2</v>
      </c>
      <c r="AB74" s="25"/>
      <c r="AC74" s="25">
        <v>1.0999999999999999E-2</v>
      </c>
      <c r="AD74" s="25"/>
      <c r="AE74" s="25">
        <v>1.9800000000000002E-2</v>
      </c>
      <c r="AF74" s="25"/>
      <c r="AG74" s="25">
        <v>1.7600000000000001E-2</v>
      </c>
      <c r="AH74" s="25"/>
      <c r="AI74" s="25">
        <v>2.53E-2</v>
      </c>
      <c r="AJ74" s="25"/>
      <c r="AK74" s="25">
        <v>1.7600000000000001E-2</v>
      </c>
      <c r="AL74" s="25"/>
      <c r="AM74" s="25" t="s">
        <v>591</v>
      </c>
      <c r="AN74" s="25" t="s">
        <v>592</v>
      </c>
      <c r="AO74" s="25">
        <v>61.6</v>
      </c>
      <c r="AP74" s="25" t="s">
        <v>1250</v>
      </c>
      <c r="AQ74" s="204">
        <v>400000</v>
      </c>
      <c r="AR74" s="25">
        <v>242</v>
      </c>
      <c r="AS74" s="25" t="s">
        <v>0</v>
      </c>
      <c r="AT74" s="25" t="s">
        <v>0</v>
      </c>
      <c r="AU74" s="25" t="s">
        <v>543</v>
      </c>
      <c r="AV74" s="25">
        <v>15000</v>
      </c>
      <c r="AW74" s="25">
        <v>135.30000000000001</v>
      </c>
      <c r="AX74" s="25">
        <v>0</v>
      </c>
      <c r="AY74" s="25">
        <v>0</v>
      </c>
      <c r="AZ74" s="25">
        <v>2200</v>
      </c>
      <c r="BA74" s="25">
        <v>3630</v>
      </c>
      <c r="BB74" s="25">
        <v>1529</v>
      </c>
      <c r="BC74" s="25">
        <v>759</v>
      </c>
      <c r="BD74" s="25">
        <v>2112</v>
      </c>
      <c r="BE74" s="25">
        <v>3630</v>
      </c>
      <c r="BF74" s="25">
        <v>2739</v>
      </c>
      <c r="BG74" s="25">
        <v>1991</v>
      </c>
      <c r="BH74" s="25">
        <v>3619</v>
      </c>
      <c r="BI74" s="25">
        <v>2112</v>
      </c>
      <c r="BJ74" s="25">
        <v>3630</v>
      </c>
      <c r="BK74" s="25">
        <v>2112</v>
      </c>
      <c r="BL74" s="25" t="s">
        <v>544</v>
      </c>
      <c r="BM74" s="25" t="s">
        <v>593</v>
      </c>
      <c r="BN74" s="25" t="s">
        <v>580</v>
      </c>
      <c r="BO74" s="25">
        <v>0</v>
      </c>
      <c r="BP74" s="25" t="s">
        <v>0</v>
      </c>
      <c r="BQ74" s="25" t="s">
        <v>594</v>
      </c>
      <c r="BR74" s="25" t="s">
        <v>248</v>
      </c>
      <c r="BS74" s="25" t="s">
        <v>113</v>
      </c>
      <c r="BT74" s="25" t="s">
        <v>2</v>
      </c>
      <c r="BU74" s="25" t="s">
        <v>582</v>
      </c>
      <c r="BV74" s="25" t="s">
        <v>548</v>
      </c>
      <c r="BW74" s="25">
        <v>3650</v>
      </c>
      <c r="BX74" s="25">
        <v>6650</v>
      </c>
      <c r="BY74" s="25" t="s">
        <v>549</v>
      </c>
      <c r="BZ74" s="25" t="s">
        <v>549</v>
      </c>
      <c r="CA74" s="25" t="s">
        <v>2</v>
      </c>
      <c r="CB74" s="25" t="s">
        <v>2</v>
      </c>
      <c r="CC74" s="25" t="s">
        <v>2</v>
      </c>
      <c r="CD74" s="25" t="s">
        <v>3</v>
      </c>
      <c r="CE74" s="25" t="s">
        <v>534</v>
      </c>
      <c r="CF74" s="25" t="s">
        <v>586</v>
      </c>
      <c r="CG74" s="25" t="s">
        <v>55</v>
      </c>
      <c r="CH74" s="25" t="s">
        <v>135</v>
      </c>
      <c r="CI74" s="25" t="s">
        <v>2</v>
      </c>
      <c r="CJ74" s="25" t="s">
        <v>2</v>
      </c>
      <c r="CK74" s="25" t="s">
        <v>57</v>
      </c>
      <c r="CL74" s="25" t="s">
        <v>2</v>
      </c>
      <c r="CM74" s="25" t="s">
        <v>2</v>
      </c>
      <c r="CN74" s="25" t="s">
        <v>136</v>
      </c>
      <c r="CO74" s="25" t="s">
        <v>595</v>
      </c>
      <c r="CP74" s="25" t="s">
        <v>596</v>
      </c>
      <c r="CQ74" s="25" t="s">
        <v>553</v>
      </c>
      <c r="CR74" s="25" t="s">
        <v>554</v>
      </c>
      <c r="CS74" s="25" t="s">
        <v>3</v>
      </c>
      <c r="CT74" s="25">
        <v>0</v>
      </c>
      <c r="CU74" s="25">
        <v>0</v>
      </c>
      <c r="CV74" s="199" t="str">
        <f t="shared" si="17"/>
        <v>750ib1-WA</v>
      </c>
      <c r="CW74" s="199" t="str">
        <f t="shared" si="15"/>
        <v>Konica Minolta</v>
      </c>
      <c r="CX74" s="199" t="str">
        <f>IF(Data!D74="E","Entry",IF(Data!D74="L","Low",IF(Data!D74="M","Medium","High")))</f>
        <v>High</v>
      </c>
      <c r="CY74" s="206" t="str">
        <f t="shared" si="16"/>
        <v>MFD-BW_Ko_H_2Y</v>
      </c>
    </row>
    <row r="75" spans="1:103" ht="24.95" customHeight="1" x14ac:dyDescent="0.2">
      <c r="A75" s="26" t="s">
        <v>597</v>
      </c>
      <c r="B75" s="26" t="s">
        <v>434</v>
      </c>
      <c r="C75" s="27" t="s">
        <v>10</v>
      </c>
      <c r="D75" s="186" t="s">
        <v>432</v>
      </c>
      <c r="E75" s="186">
        <v>3</v>
      </c>
      <c r="F75" s="184" t="s">
        <v>157</v>
      </c>
      <c r="G75" s="186" t="s">
        <v>598</v>
      </c>
      <c r="H75" s="186" t="s">
        <v>599</v>
      </c>
      <c r="I75" s="186">
        <v>95</v>
      </c>
      <c r="J75" s="189">
        <v>5000000</v>
      </c>
      <c r="K75" s="189">
        <v>83333</v>
      </c>
      <c r="L75" s="284">
        <f>[1]Sheet1!C19*1.07</f>
        <v>12005.400000000001</v>
      </c>
      <c r="M75" s="26">
        <v>5.4999999999999997E-3</v>
      </c>
      <c r="N75" s="26"/>
      <c r="O75" s="26">
        <v>2.53E-2</v>
      </c>
      <c r="P75" s="26"/>
      <c r="Q75" s="26">
        <v>2.53E-2</v>
      </c>
      <c r="R75" s="26"/>
      <c r="S75" s="26">
        <v>1.0999999999999999E-2</v>
      </c>
      <c r="T75" s="26"/>
      <c r="U75" s="26">
        <v>1.0999999999999999E-2</v>
      </c>
      <c r="V75" s="26"/>
      <c r="W75" s="26">
        <v>1.32E-2</v>
      </c>
      <c r="X75" s="26"/>
      <c r="Y75" s="26">
        <v>2.53E-2</v>
      </c>
      <c r="Z75" s="26"/>
      <c r="AA75" s="26">
        <v>1.9800000000000002E-2</v>
      </c>
      <c r="AB75" s="26"/>
      <c r="AC75" s="26">
        <v>1.0999999999999999E-2</v>
      </c>
      <c r="AD75" s="26"/>
      <c r="AE75" s="26">
        <v>1.9800000000000002E-2</v>
      </c>
      <c r="AF75" s="26"/>
      <c r="AG75" s="26">
        <v>1.7600000000000001E-2</v>
      </c>
      <c r="AH75" s="26"/>
      <c r="AI75" s="26">
        <v>2.53E-2</v>
      </c>
      <c r="AJ75" s="26"/>
      <c r="AK75" s="26">
        <v>1.7600000000000001E-2</v>
      </c>
      <c r="AL75" s="26"/>
      <c r="AM75" s="26" t="s">
        <v>600</v>
      </c>
      <c r="AN75" s="26" t="s">
        <v>601</v>
      </c>
      <c r="AO75" s="26">
        <v>52.8</v>
      </c>
      <c r="AP75" s="26" t="s">
        <v>1250</v>
      </c>
      <c r="AQ75" s="189">
        <v>400000</v>
      </c>
      <c r="AR75" s="26">
        <v>242</v>
      </c>
      <c r="AS75" s="26" t="s">
        <v>0</v>
      </c>
      <c r="AT75" s="26" t="s">
        <v>0</v>
      </c>
      <c r="AU75" s="26" t="s">
        <v>543</v>
      </c>
      <c r="AV75" s="26">
        <v>15000</v>
      </c>
      <c r="AW75" s="26">
        <v>135.30000000000001</v>
      </c>
      <c r="AX75" s="26">
        <v>0</v>
      </c>
      <c r="AY75" s="26">
        <v>0</v>
      </c>
      <c r="AZ75" s="26">
        <v>3080</v>
      </c>
      <c r="BA75" s="26">
        <v>4400</v>
      </c>
      <c r="BB75" s="26">
        <v>2013</v>
      </c>
      <c r="BC75" s="26">
        <v>1243</v>
      </c>
      <c r="BD75" s="26">
        <v>2981</v>
      </c>
      <c r="BE75" s="26">
        <v>4400</v>
      </c>
      <c r="BF75" s="26">
        <v>3443</v>
      </c>
      <c r="BG75" s="26">
        <v>2717</v>
      </c>
      <c r="BH75" s="26">
        <v>4323</v>
      </c>
      <c r="BI75" s="26">
        <v>2981</v>
      </c>
      <c r="BJ75" s="26">
        <v>4400</v>
      </c>
      <c r="BK75" s="26">
        <v>2981</v>
      </c>
      <c r="BL75" s="26" t="s">
        <v>544</v>
      </c>
      <c r="BM75" s="26" t="s">
        <v>602</v>
      </c>
      <c r="BN75" s="26" t="s">
        <v>603</v>
      </c>
      <c r="BO75" s="26">
        <v>0</v>
      </c>
      <c r="BP75" s="26" t="s">
        <v>0</v>
      </c>
      <c r="BQ75" s="26" t="s">
        <v>594</v>
      </c>
      <c r="BR75" s="26" t="s">
        <v>248</v>
      </c>
      <c r="BS75" s="26" t="s">
        <v>113</v>
      </c>
      <c r="BT75" s="26" t="s">
        <v>2</v>
      </c>
      <c r="BU75" s="26" t="s">
        <v>582</v>
      </c>
      <c r="BV75" s="26" t="s">
        <v>548</v>
      </c>
      <c r="BW75" s="26">
        <v>3650</v>
      </c>
      <c r="BX75" s="26">
        <v>6650</v>
      </c>
      <c r="BY75" s="26" t="s">
        <v>549</v>
      </c>
      <c r="BZ75" s="26" t="s">
        <v>549</v>
      </c>
      <c r="CA75" s="26" t="s">
        <v>2</v>
      </c>
      <c r="CB75" s="26" t="s">
        <v>2</v>
      </c>
      <c r="CC75" s="26" t="s">
        <v>2</v>
      </c>
      <c r="CD75" s="26" t="s">
        <v>3</v>
      </c>
      <c r="CE75" s="26" t="s">
        <v>534</v>
      </c>
      <c r="CF75" s="26" t="s">
        <v>604</v>
      </c>
      <c r="CG75" s="26" t="s">
        <v>55</v>
      </c>
      <c r="CH75" s="26" t="s">
        <v>135</v>
      </c>
      <c r="CI75" s="26" t="s">
        <v>2</v>
      </c>
      <c r="CJ75" s="26" t="s">
        <v>2</v>
      </c>
      <c r="CK75" s="26" t="s">
        <v>57</v>
      </c>
      <c r="CL75" s="26" t="s">
        <v>2</v>
      </c>
      <c r="CM75" s="26" t="s">
        <v>2</v>
      </c>
      <c r="CN75" s="26" t="s">
        <v>136</v>
      </c>
      <c r="CO75" s="26" t="s">
        <v>605</v>
      </c>
      <c r="CP75" s="26" t="s">
        <v>596</v>
      </c>
      <c r="CQ75" s="26" t="s">
        <v>553</v>
      </c>
      <c r="CR75" s="26" t="s">
        <v>554</v>
      </c>
      <c r="CS75" s="26" t="s">
        <v>3</v>
      </c>
      <c r="CT75" s="26">
        <v>0</v>
      </c>
      <c r="CU75" s="26">
        <v>0</v>
      </c>
      <c r="CV75" s="186" t="str">
        <f t="shared" si="17"/>
        <v>958B</v>
      </c>
      <c r="CW75" s="186" t="str">
        <f t="shared" si="15"/>
        <v>Konica Minolta</v>
      </c>
      <c r="CX75" s="186" t="str">
        <f>IF(Data!D75="E","Entry",IF(Data!D75="L","Low",IF(Data!D75="M","Medium","High")))</f>
        <v>High</v>
      </c>
      <c r="CY75" s="187" t="str">
        <f t="shared" si="16"/>
        <v>MFD-BW_Ko_H_3Y</v>
      </c>
    </row>
    <row r="76" spans="1:103" ht="24.95" customHeight="1" x14ac:dyDescent="0.2">
      <c r="A76" s="26" t="s">
        <v>606</v>
      </c>
      <c r="B76" s="26" t="s">
        <v>434</v>
      </c>
      <c r="C76" s="27" t="s">
        <v>7</v>
      </c>
      <c r="D76" s="186" t="s">
        <v>403</v>
      </c>
      <c r="E76" s="186">
        <v>1</v>
      </c>
      <c r="F76" s="184" t="s">
        <v>154</v>
      </c>
      <c r="G76" s="186" t="s">
        <v>607</v>
      </c>
      <c r="H76" s="186" t="s">
        <v>608</v>
      </c>
      <c r="I76" s="186">
        <v>25</v>
      </c>
      <c r="J76" s="189">
        <v>600000</v>
      </c>
      <c r="K76" s="189">
        <v>14000</v>
      </c>
      <c r="L76" s="26">
        <v>1826</v>
      </c>
      <c r="M76" s="26">
        <v>1.0449999999999999E-2</v>
      </c>
      <c r="N76" s="26"/>
      <c r="O76" s="26">
        <v>1.54E-2</v>
      </c>
      <c r="P76" s="26"/>
      <c r="Q76" s="26">
        <v>3.1460000000000002E-2</v>
      </c>
      <c r="R76" s="26"/>
      <c r="S76" s="26">
        <v>1.6500000000000001E-2</v>
      </c>
      <c r="T76" s="26"/>
      <c r="U76" s="26">
        <v>2.64E-2</v>
      </c>
      <c r="V76" s="26"/>
      <c r="W76" s="26">
        <v>1.6500000000000001E-2</v>
      </c>
      <c r="X76" s="26"/>
      <c r="Y76" s="26">
        <v>1.6500000000000001E-2</v>
      </c>
      <c r="Z76" s="26"/>
      <c r="AA76" s="26">
        <v>1.9800000000000002E-2</v>
      </c>
      <c r="AB76" s="26"/>
      <c r="AC76" s="26">
        <v>1.6500000000000001E-2</v>
      </c>
      <c r="AD76" s="26"/>
      <c r="AE76" s="26">
        <v>3.1460000000000002E-2</v>
      </c>
      <c r="AF76" s="26"/>
      <c r="AG76" s="26">
        <v>1.9800000000000002E-2</v>
      </c>
      <c r="AH76" s="26"/>
      <c r="AI76" s="26">
        <v>2.64E-2</v>
      </c>
      <c r="AJ76" s="26"/>
      <c r="AK76" s="26">
        <v>1.9800000000000002E-2</v>
      </c>
      <c r="AL76" s="26"/>
      <c r="AM76" s="26" t="s">
        <v>609</v>
      </c>
      <c r="AN76" s="26" t="s">
        <v>610</v>
      </c>
      <c r="AO76" s="26">
        <v>153.34</v>
      </c>
      <c r="AP76" s="26" t="s">
        <v>1250</v>
      </c>
      <c r="AQ76" s="189" t="s">
        <v>237</v>
      </c>
      <c r="AR76" s="26">
        <v>0</v>
      </c>
      <c r="AS76" s="26" t="s">
        <v>611</v>
      </c>
      <c r="AT76" s="26">
        <v>367.46</v>
      </c>
      <c r="AU76" s="26" t="s">
        <v>242</v>
      </c>
      <c r="AV76" s="26" t="s">
        <v>244</v>
      </c>
      <c r="AW76" s="26">
        <v>100.1</v>
      </c>
      <c r="AX76" s="26">
        <v>0</v>
      </c>
      <c r="AY76" s="26">
        <v>0</v>
      </c>
      <c r="AZ76" s="26">
        <v>385</v>
      </c>
      <c r="BA76" s="26">
        <v>1584</v>
      </c>
      <c r="BB76" s="26">
        <v>330</v>
      </c>
      <c r="BC76" s="26">
        <v>440</v>
      </c>
      <c r="BD76" s="26">
        <v>330</v>
      </c>
      <c r="BE76" s="26">
        <v>330</v>
      </c>
      <c r="BF76" s="26">
        <v>1100</v>
      </c>
      <c r="BG76" s="26">
        <v>330</v>
      </c>
      <c r="BH76" s="26">
        <v>1584</v>
      </c>
      <c r="BI76" s="26">
        <v>275</v>
      </c>
      <c r="BJ76" s="26">
        <v>440</v>
      </c>
      <c r="BK76" s="26">
        <v>275</v>
      </c>
      <c r="BL76" s="26" t="s">
        <v>245</v>
      </c>
      <c r="BM76" s="26">
        <v>5.8</v>
      </c>
      <c r="BN76" s="26">
        <v>20</v>
      </c>
      <c r="BO76" s="26">
        <v>12000</v>
      </c>
      <c r="BP76" s="26">
        <v>600000</v>
      </c>
      <c r="BQ76" s="26">
        <v>49</v>
      </c>
      <c r="BR76" s="26" t="s">
        <v>248</v>
      </c>
      <c r="BS76" s="26" t="s">
        <v>113</v>
      </c>
      <c r="BT76" s="26" t="s">
        <v>2</v>
      </c>
      <c r="BU76" s="26" t="s">
        <v>245</v>
      </c>
      <c r="BV76" s="26" t="s">
        <v>612</v>
      </c>
      <c r="BW76" s="26">
        <v>600</v>
      </c>
      <c r="BX76" s="26">
        <v>1600</v>
      </c>
      <c r="BY76" s="26">
        <v>100</v>
      </c>
      <c r="BZ76" s="26">
        <v>50</v>
      </c>
      <c r="CA76" s="26" t="s">
        <v>2</v>
      </c>
      <c r="CB76" s="26" t="s">
        <v>2</v>
      </c>
      <c r="CC76" s="26" t="s">
        <v>2</v>
      </c>
      <c r="CD76" s="26" t="s">
        <v>3</v>
      </c>
      <c r="CE76" s="26" t="s">
        <v>3</v>
      </c>
      <c r="CF76" s="26">
        <v>390</v>
      </c>
      <c r="CG76" s="26">
        <v>36</v>
      </c>
      <c r="CH76" s="26" t="s">
        <v>134</v>
      </c>
      <c r="CI76" s="26" t="s">
        <v>2</v>
      </c>
      <c r="CJ76" s="26" t="s">
        <v>2</v>
      </c>
      <c r="CK76" s="26">
        <v>200</v>
      </c>
      <c r="CL76" s="26" t="s">
        <v>2</v>
      </c>
      <c r="CM76" s="26" t="s">
        <v>2</v>
      </c>
      <c r="CN76" s="26" t="s">
        <v>113</v>
      </c>
      <c r="CO76" s="26" t="s">
        <v>255</v>
      </c>
      <c r="CP76" s="26" t="s">
        <v>256</v>
      </c>
      <c r="CQ76" s="26" t="s">
        <v>257</v>
      </c>
      <c r="CR76" s="26" t="s">
        <v>258</v>
      </c>
      <c r="CS76" s="26" t="s">
        <v>3</v>
      </c>
      <c r="CT76" s="26">
        <v>0</v>
      </c>
      <c r="CU76" s="26">
        <v>0</v>
      </c>
      <c r="CV76" s="186" t="str">
        <f t="shared" si="17"/>
        <v>1102P23AS0</v>
      </c>
      <c r="CW76" s="186" t="str">
        <f t="shared" si="15"/>
        <v>Kyocera</v>
      </c>
      <c r="CX76" s="186" t="str">
        <f>IF(Data!D76="E","Entry",IF(Data!D76="L","Low",IF(Data!D76="M","Medium","High")))</f>
        <v>Entry</v>
      </c>
      <c r="CY76" s="187" t="str">
        <f t="shared" si="16"/>
        <v>MFD-BW_Ky_E_1Y</v>
      </c>
    </row>
    <row r="77" spans="1:103" ht="24.95" customHeight="1" x14ac:dyDescent="0.2">
      <c r="A77" s="26" t="s">
        <v>613</v>
      </c>
      <c r="B77" s="26" t="s">
        <v>434</v>
      </c>
      <c r="C77" s="27" t="s">
        <v>7</v>
      </c>
      <c r="D77" s="186" t="s">
        <v>435</v>
      </c>
      <c r="E77" s="186">
        <v>1</v>
      </c>
      <c r="F77" s="184" t="s">
        <v>155</v>
      </c>
      <c r="G77" s="186" t="s">
        <v>614</v>
      </c>
      <c r="H77" s="186" t="s">
        <v>615</v>
      </c>
      <c r="I77" s="186">
        <v>32</v>
      </c>
      <c r="J77" s="189">
        <v>600000</v>
      </c>
      <c r="K77" s="189">
        <v>20000</v>
      </c>
      <c r="L77" s="26">
        <v>2145</v>
      </c>
      <c r="M77" s="26">
        <v>1.0449999999999999E-2</v>
      </c>
      <c r="N77" s="26"/>
      <c r="O77" s="26">
        <v>1.54E-2</v>
      </c>
      <c r="P77" s="26"/>
      <c r="Q77" s="26">
        <v>3.1460000000000002E-2</v>
      </c>
      <c r="R77" s="26"/>
      <c r="S77" s="26">
        <v>1.6500000000000001E-2</v>
      </c>
      <c r="T77" s="26"/>
      <c r="U77" s="26">
        <v>2.64E-2</v>
      </c>
      <c r="V77" s="26"/>
      <c r="W77" s="26">
        <v>1.6500000000000001E-2</v>
      </c>
      <c r="X77" s="26"/>
      <c r="Y77" s="26">
        <v>1.6500000000000001E-2</v>
      </c>
      <c r="Z77" s="26"/>
      <c r="AA77" s="26">
        <v>1.9800000000000002E-2</v>
      </c>
      <c r="AB77" s="26"/>
      <c r="AC77" s="26">
        <v>1.6500000000000001E-2</v>
      </c>
      <c r="AD77" s="26"/>
      <c r="AE77" s="26">
        <v>3.1460000000000002E-2</v>
      </c>
      <c r="AF77" s="26"/>
      <c r="AG77" s="26">
        <v>1.9800000000000002E-2</v>
      </c>
      <c r="AH77" s="26"/>
      <c r="AI77" s="26">
        <v>2.64E-2</v>
      </c>
      <c r="AJ77" s="26"/>
      <c r="AK77" s="26">
        <v>1.9800000000000002E-2</v>
      </c>
      <c r="AL77" s="26"/>
      <c r="AM77" s="26" t="s">
        <v>609</v>
      </c>
      <c r="AN77" s="26" t="s">
        <v>610</v>
      </c>
      <c r="AO77" s="26">
        <v>153.34</v>
      </c>
      <c r="AP77" s="26" t="s">
        <v>1250</v>
      </c>
      <c r="AQ77" s="189" t="s">
        <v>237</v>
      </c>
      <c r="AR77" s="26">
        <v>0</v>
      </c>
      <c r="AS77" s="26" t="s">
        <v>611</v>
      </c>
      <c r="AT77" s="26">
        <v>367.46</v>
      </c>
      <c r="AU77" s="26" t="s">
        <v>242</v>
      </c>
      <c r="AV77" s="26" t="s">
        <v>244</v>
      </c>
      <c r="AW77" s="26">
        <v>100.1</v>
      </c>
      <c r="AX77" s="26">
        <v>0</v>
      </c>
      <c r="AY77" s="26">
        <v>0</v>
      </c>
      <c r="AZ77" s="26">
        <v>385</v>
      </c>
      <c r="BA77" s="26">
        <v>1584</v>
      </c>
      <c r="BB77" s="26">
        <v>330</v>
      </c>
      <c r="BC77" s="26">
        <v>440</v>
      </c>
      <c r="BD77" s="26">
        <v>330</v>
      </c>
      <c r="BE77" s="26">
        <v>330</v>
      </c>
      <c r="BF77" s="26">
        <v>1100</v>
      </c>
      <c r="BG77" s="26">
        <v>330</v>
      </c>
      <c r="BH77" s="26">
        <v>1584</v>
      </c>
      <c r="BI77" s="26">
        <v>275</v>
      </c>
      <c r="BJ77" s="26">
        <v>440</v>
      </c>
      <c r="BK77" s="26">
        <v>275</v>
      </c>
      <c r="BL77" s="26" t="s">
        <v>245</v>
      </c>
      <c r="BM77" s="26">
        <v>5.2</v>
      </c>
      <c r="BN77" s="26">
        <v>20</v>
      </c>
      <c r="BO77" s="26">
        <v>15000</v>
      </c>
      <c r="BP77" s="26">
        <v>600000</v>
      </c>
      <c r="BQ77" s="26">
        <v>50</v>
      </c>
      <c r="BR77" s="26" t="s">
        <v>248</v>
      </c>
      <c r="BS77" s="26" t="s">
        <v>113</v>
      </c>
      <c r="BT77" s="26" t="s">
        <v>2</v>
      </c>
      <c r="BU77" s="26" t="s">
        <v>245</v>
      </c>
      <c r="BV77" s="26" t="s">
        <v>612</v>
      </c>
      <c r="BW77" s="26">
        <v>600</v>
      </c>
      <c r="BX77" s="26">
        <v>1600</v>
      </c>
      <c r="BY77" s="26">
        <v>100</v>
      </c>
      <c r="BZ77" s="26">
        <v>50</v>
      </c>
      <c r="CA77" s="26" t="s">
        <v>2</v>
      </c>
      <c r="CB77" s="26" t="s">
        <v>2</v>
      </c>
      <c r="CC77" s="26" t="s">
        <v>2</v>
      </c>
      <c r="CD77" s="26" t="s">
        <v>3</v>
      </c>
      <c r="CE77" s="26" t="s">
        <v>3</v>
      </c>
      <c r="CF77" s="26">
        <v>515</v>
      </c>
      <c r="CG77" s="26">
        <v>36</v>
      </c>
      <c r="CH77" s="26" t="s">
        <v>134</v>
      </c>
      <c r="CI77" s="26" t="s">
        <v>2</v>
      </c>
      <c r="CJ77" s="26" t="s">
        <v>2</v>
      </c>
      <c r="CK77" s="26">
        <v>200</v>
      </c>
      <c r="CL77" s="26" t="s">
        <v>2</v>
      </c>
      <c r="CM77" s="26" t="s">
        <v>2</v>
      </c>
      <c r="CN77" s="26" t="s">
        <v>113</v>
      </c>
      <c r="CO77" s="26" t="s">
        <v>255</v>
      </c>
      <c r="CP77" s="26" t="s">
        <v>256</v>
      </c>
      <c r="CQ77" s="26" t="s">
        <v>257</v>
      </c>
      <c r="CR77" s="26" t="s">
        <v>258</v>
      </c>
      <c r="CS77" s="26" t="s">
        <v>3</v>
      </c>
      <c r="CT77" s="26">
        <v>0</v>
      </c>
      <c r="CU77" s="26">
        <v>0</v>
      </c>
      <c r="CV77" s="186" t="str">
        <f t="shared" si="17"/>
        <v>1102P13AS0</v>
      </c>
      <c r="CW77" s="186" t="str">
        <f t="shared" si="15"/>
        <v>Kyocera</v>
      </c>
      <c r="CX77" s="186" t="str">
        <f>IF(Data!D77="E","Entry",IF(Data!D77="L","Low",IF(Data!D77="M","Medium","High")))</f>
        <v>Low</v>
      </c>
      <c r="CY77" s="187" t="str">
        <f t="shared" si="16"/>
        <v>MFD-BW_Ky_L_1Y</v>
      </c>
    </row>
    <row r="78" spans="1:103" s="266" customFormat="1" ht="24.95" customHeight="1" x14ac:dyDescent="0.2">
      <c r="A78" s="25" t="s">
        <v>616</v>
      </c>
      <c r="B78" s="25" t="s">
        <v>434</v>
      </c>
      <c r="C78" s="200" t="s">
        <v>7</v>
      </c>
      <c r="D78" s="199" t="s">
        <v>435</v>
      </c>
      <c r="E78" s="199">
        <v>2</v>
      </c>
      <c r="F78" s="203" t="s">
        <v>155</v>
      </c>
      <c r="G78" s="40" t="s">
        <v>2280</v>
      </c>
      <c r="H78" s="40" t="s">
        <v>2281</v>
      </c>
      <c r="I78" s="40">
        <v>32</v>
      </c>
      <c r="J78" s="51">
        <v>1800000</v>
      </c>
      <c r="K78" s="51">
        <v>30000</v>
      </c>
      <c r="L78" s="267">
        <v>2614.6999999999998</v>
      </c>
      <c r="M78" s="268">
        <v>6.6E-3</v>
      </c>
      <c r="N78" s="268"/>
      <c r="O78" s="268">
        <v>1.54E-2</v>
      </c>
      <c r="P78" s="268"/>
      <c r="Q78" s="268">
        <v>2.3650000000000001E-2</v>
      </c>
      <c r="R78" s="268"/>
      <c r="S78" s="268">
        <v>9.9000000000000008E-3</v>
      </c>
      <c r="T78" s="268"/>
      <c r="U78" s="268">
        <v>2.1999999999999999E-2</v>
      </c>
      <c r="V78" s="268"/>
      <c r="W78" s="268">
        <v>9.9000000000000008E-3</v>
      </c>
      <c r="X78" s="268"/>
      <c r="Y78" s="268">
        <v>1.43E-2</v>
      </c>
      <c r="Z78" s="268"/>
      <c r="AA78" s="268">
        <v>1.9800000000000002E-2</v>
      </c>
      <c r="AB78" s="268"/>
      <c r="AC78" s="268">
        <v>1.43E-2</v>
      </c>
      <c r="AD78" s="268"/>
      <c r="AE78" s="268">
        <v>2.3650000000000001E-2</v>
      </c>
      <c r="AF78" s="268"/>
      <c r="AG78" s="268">
        <v>1.9800000000000002E-2</v>
      </c>
      <c r="AH78" s="268"/>
      <c r="AI78" s="268">
        <v>2.1999999999999999E-2</v>
      </c>
      <c r="AJ78" s="268"/>
      <c r="AK78" s="268">
        <v>1.9800000000000002E-2</v>
      </c>
      <c r="AL78" s="268"/>
      <c r="AM78" s="269" t="s">
        <v>2282</v>
      </c>
      <c r="AN78" s="269" t="s">
        <v>2283</v>
      </c>
      <c r="AO78" s="270">
        <v>83.22</v>
      </c>
      <c r="AP78" s="271" t="s">
        <v>1250</v>
      </c>
      <c r="AQ78" s="267" t="s">
        <v>237</v>
      </c>
      <c r="AR78" s="272">
        <v>0</v>
      </c>
      <c r="AS78" s="267" t="s">
        <v>617</v>
      </c>
      <c r="AT78" s="272">
        <v>696.58</v>
      </c>
      <c r="AU78" s="269" t="s">
        <v>243</v>
      </c>
      <c r="AV78" s="273" t="s">
        <v>244</v>
      </c>
      <c r="AW78" s="272">
        <v>137.5</v>
      </c>
      <c r="AX78" s="267">
        <v>0</v>
      </c>
      <c r="AY78" s="271">
        <v>0</v>
      </c>
      <c r="AZ78" s="267">
        <v>440</v>
      </c>
      <c r="BA78" s="267">
        <v>1980</v>
      </c>
      <c r="BB78" s="267">
        <v>440</v>
      </c>
      <c r="BC78" s="267">
        <v>550</v>
      </c>
      <c r="BD78" s="267">
        <v>440</v>
      </c>
      <c r="BE78" s="267">
        <v>495</v>
      </c>
      <c r="BF78" s="267">
        <v>1100</v>
      </c>
      <c r="BG78" s="267">
        <v>495</v>
      </c>
      <c r="BH78" s="267">
        <v>1980</v>
      </c>
      <c r="BI78" s="267">
        <v>495</v>
      </c>
      <c r="BJ78" s="267">
        <v>550</v>
      </c>
      <c r="BK78" s="267">
        <v>495</v>
      </c>
      <c r="BL78" s="269" t="s">
        <v>246</v>
      </c>
      <c r="BM78" s="269">
        <v>4.9000000000000004</v>
      </c>
      <c r="BN78" s="269">
        <v>18</v>
      </c>
      <c r="BO78" s="269">
        <v>15000</v>
      </c>
      <c r="BP78" s="269">
        <v>1800000</v>
      </c>
      <c r="BQ78" s="269">
        <v>66</v>
      </c>
      <c r="BR78" s="269" t="s">
        <v>248</v>
      </c>
      <c r="BS78" s="269" t="s">
        <v>113</v>
      </c>
      <c r="BT78" s="269" t="s">
        <v>2</v>
      </c>
      <c r="BU78" s="269" t="s">
        <v>246</v>
      </c>
      <c r="BV78" s="269" t="s">
        <v>612</v>
      </c>
      <c r="BW78" s="269">
        <v>1100</v>
      </c>
      <c r="BX78" s="273">
        <v>4100</v>
      </c>
      <c r="BY78" s="269">
        <v>100</v>
      </c>
      <c r="BZ78" s="269">
        <v>140</v>
      </c>
      <c r="CA78" s="269" t="s">
        <v>2</v>
      </c>
      <c r="CB78" s="269" t="s">
        <v>2</v>
      </c>
      <c r="CC78" s="269" t="s">
        <v>2</v>
      </c>
      <c r="CD78" s="269" t="s">
        <v>3</v>
      </c>
      <c r="CE78" s="269" t="s">
        <v>3</v>
      </c>
      <c r="CF78" s="269">
        <v>510</v>
      </c>
      <c r="CG78" s="269">
        <v>12</v>
      </c>
      <c r="CH78" s="269" t="s">
        <v>56</v>
      </c>
      <c r="CI78" s="269" t="s">
        <v>2</v>
      </c>
      <c r="CJ78" s="269" t="s">
        <v>2</v>
      </c>
      <c r="CK78" s="273">
        <v>2000</v>
      </c>
      <c r="CL78" s="269" t="s">
        <v>2</v>
      </c>
      <c r="CM78" s="269" t="s">
        <v>2</v>
      </c>
      <c r="CN78" s="269" t="s">
        <v>113</v>
      </c>
      <c r="CO78" s="269" t="s">
        <v>255</v>
      </c>
      <c r="CP78" s="269" t="s">
        <v>256</v>
      </c>
      <c r="CQ78" s="269" t="s">
        <v>257</v>
      </c>
      <c r="CR78" s="269" t="s">
        <v>258</v>
      </c>
      <c r="CS78" s="269" t="s">
        <v>3</v>
      </c>
      <c r="CT78" s="269">
        <v>0</v>
      </c>
      <c r="CU78" s="263">
        <v>0</v>
      </c>
      <c r="CV78" s="264" t="str">
        <f t="shared" si="17"/>
        <v>1102ZT3AU0</v>
      </c>
      <c r="CW78" s="264" t="str">
        <f t="shared" si="15"/>
        <v>Kyocera</v>
      </c>
      <c r="CX78" s="264" t="str">
        <f>IF(Data!D78="E","Entry",IF(Data!D78="L","Low",IF(Data!D78="M","Medium","High")))</f>
        <v>Low</v>
      </c>
      <c r="CY78" s="265" t="str">
        <f t="shared" si="16"/>
        <v>MFD-BW_Ky_L_2Y</v>
      </c>
    </row>
    <row r="79" spans="1:103" ht="24.95" customHeight="1" x14ac:dyDescent="0.2">
      <c r="A79" s="25" t="s">
        <v>618</v>
      </c>
      <c r="B79" s="25" t="s">
        <v>434</v>
      </c>
      <c r="C79" s="200" t="s">
        <v>7</v>
      </c>
      <c r="D79" s="199" t="s">
        <v>433</v>
      </c>
      <c r="E79" s="199">
        <v>1</v>
      </c>
      <c r="F79" s="203" t="s">
        <v>156</v>
      </c>
      <c r="G79" s="274" t="s">
        <v>2284</v>
      </c>
      <c r="H79" s="274" t="s">
        <v>2285</v>
      </c>
      <c r="I79" s="274">
        <v>40</v>
      </c>
      <c r="J79" s="275">
        <v>1800000</v>
      </c>
      <c r="K79" s="275">
        <v>30000</v>
      </c>
      <c r="L79" s="276">
        <v>3173.5</v>
      </c>
      <c r="M79" s="277">
        <v>6.6E-3</v>
      </c>
      <c r="N79" s="277"/>
      <c r="O79" s="277">
        <v>1.54E-2</v>
      </c>
      <c r="P79" s="277"/>
      <c r="Q79" s="277">
        <v>1.9689999999999999E-2</v>
      </c>
      <c r="R79" s="277"/>
      <c r="S79" s="277">
        <v>9.9000000000000008E-3</v>
      </c>
      <c r="T79" s="277"/>
      <c r="U79" s="277">
        <v>1.0999999999999999E-2</v>
      </c>
      <c r="V79" s="277"/>
      <c r="W79" s="277">
        <v>9.9000000000000008E-3</v>
      </c>
      <c r="X79" s="277"/>
      <c r="Y79" s="277">
        <v>1.43E-2</v>
      </c>
      <c r="Z79" s="277"/>
      <c r="AA79" s="277">
        <v>1.9800000000000002E-2</v>
      </c>
      <c r="AB79" s="277"/>
      <c r="AC79" s="277">
        <v>1.43E-2</v>
      </c>
      <c r="AD79" s="277"/>
      <c r="AE79" s="277">
        <v>1.9689999999999999E-2</v>
      </c>
      <c r="AF79" s="277"/>
      <c r="AG79" s="277">
        <v>1.7600000000000001E-2</v>
      </c>
      <c r="AH79" s="277"/>
      <c r="AI79" s="277">
        <v>1.0999999999999999E-2</v>
      </c>
      <c r="AJ79" s="277"/>
      <c r="AK79" s="277">
        <v>1.7600000000000001E-2</v>
      </c>
      <c r="AL79" s="277"/>
      <c r="AM79" s="278" t="s">
        <v>2286</v>
      </c>
      <c r="AN79" s="278" t="s">
        <v>2287</v>
      </c>
      <c r="AO79" s="279">
        <v>120.62</v>
      </c>
      <c r="AP79" s="280" t="s">
        <v>1250</v>
      </c>
      <c r="AQ79" s="276" t="s">
        <v>237</v>
      </c>
      <c r="AR79" s="281">
        <v>0</v>
      </c>
      <c r="AS79" s="276" t="s">
        <v>617</v>
      </c>
      <c r="AT79" s="281">
        <v>696.58</v>
      </c>
      <c r="AU79" s="278" t="s">
        <v>243</v>
      </c>
      <c r="AV79" s="282" t="s">
        <v>244</v>
      </c>
      <c r="AW79" s="281">
        <v>137.5</v>
      </c>
      <c r="AX79" s="276">
        <v>0</v>
      </c>
      <c r="AY79" s="280">
        <v>0</v>
      </c>
      <c r="AZ79" s="276">
        <v>440</v>
      </c>
      <c r="BA79" s="276">
        <v>2178</v>
      </c>
      <c r="BB79" s="276">
        <v>440</v>
      </c>
      <c r="BC79" s="276">
        <v>550</v>
      </c>
      <c r="BD79" s="276">
        <v>440</v>
      </c>
      <c r="BE79" s="276">
        <v>495</v>
      </c>
      <c r="BF79" s="276">
        <v>1100</v>
      </c>
      <c r="BG79" s="276">
        <v>495</v>
      </c>
      <c r="BH79" s="276">
        <v>2178</v>
      </c>
      <c r="BI79" s="276">
        <v>495</v>
      </c>
      <c r="BJ79" s="276">
        <v>550</v>
      </c>
      <c r="BK79" s="276">
        <v>495</v>
      </c>
      <c r="BL79" s="278" t="s">
        <v>246</v>
      </c>
      <c r="BM79" s="278">
        <v>4.2</v>
      </c>
      <c r="BN79" s="278">
        <v>18</v>
      </c>
      <c r="BO79" s="278">
        <v>25000</v>
      </c>
      <c r="BP79" s="278">
        <v>1800000</v>
      </c>
      <c r="BQ79" s="278">
        <v>67</v>
      </c>
      <c r="BR79" s="278" t="s">
        <v>248</v>
      </c>
      <c r="BS79" s="278" t="s">
        <v>113</v>
      </c>
      <c r="BT79" s="278" t="s">
        <v>2</v>
      </c>
      <c r="BU79" s="278" t="s">
        <v>246</v>
      </c>
      <c r="BV79" s="278" t="s">
        <v>612</v>
      </c>
      <c r="BW79" s="278">
        <v>1100</v>
      </c>
      <c r="BX79" s="282">
        <v>4100</v>
      </c>
      <c r="BY79" s="278">
        <v>100</v>
      </c>
      <c r="BZ79" s="278">
        <v>140</v>
      </c>
      <c r="CA79" s="278" t="s">
        <v>2</v>
      </c>
      <c r="CB79" s="278" t="s">
        <v>2</v>
      </c>
      <c r="CC79" s="278" t="s">
        <v>2</v>
      </c>
      <c r="CD79" s="278" t="s">
        <v>3</v>
      </c>
      <c r="CE79" s="278" t="s">
        <v>2</v>
      </c>
      <c r="CF79" s="278">
        <v>600</v>
      </c>
      <c r="CG79" s="278">
        <v>12</v>
      </c>
      <c r="CH79" s="278" t="s">
        <v>56</v>
      </c>
      <c r="CI79" s="278" t="s">
        <v>2</v>
      </c>
      <c r="CJ79" s="278" t="s">
        <v>2</v>
      </c>
      <c r="CK79" s="282">
        <v>2000</v>
      </c>
      <c r="CL79" s="278" t="s">
        <v>2</v>
      </c>
      <c r="CM79" s="278" t="s">
        <v>2</v>
      </c>
      <c r="CN79" s="278" t="s">
        <v>113</v>
      </c>
      <c r="CO79" s="278" t="s">
        <v>255</v>
      </c>
      <c r="CP79" s="278" t="s">
        <v>256</v>
      </c>
      <c r="CQ79" s="278" t="s">
        <v>257</v>
      </c>
      <c r="CR79" s="278" t="s">
        <v>258</v>
      </c>
      <c r="CS79" s="278" t="s">
        <v>3</v>
      </c>
      <c r="CT79" s="278">
        <v>0</v>
      </c>
      <c r="CU79" s="25">
        <v>0</v>
      </c>
      <c r="CV79" s="199" t="str">
        <f t="shared" si="17"/>
        <v>1102ZS3AU0</v>
      </c>
      <c r="CW79" s="199" t="str">
        <f t="shared" si="15"/>
        <v>Kyocera</v>
      </c>
      <c r="CX79" s="199" t="str">
        <f>IF(Data!D79="E","Entry",IF(Data!D79="L","Low",IF(Data!D79="M","Medium","High")))</f>
        <v>Medium</v>
      </c>
      <c r="CY79" s="206" t="str">
        <f t="shared" si="16"/>
        <v>MFD-BW_Ky_M_1Y</v>
      </c>
    </row>
    <row r="80" spans="1:103" s="36" customFormat="1" ht="24.95" customHeight="1" x14ac:dyDescent="0.2">
      <c r="A80" s="26" t="s">
        <v>619</v>
      </c>
      <c r="B80" s="26" t="s">
        <v>434</v>
      </c>
      <c r="C80" s="27" t="s">
        <v>7</v>
      </c>
      <c r="D80" s="186" t="s">
        <v>433</v>
      </c>
      <c r="E80" s="186">
        <v>2</v>
      </c>
      <c r="F80" s="184" t="s">
        <v>156</v>
      </c>
      <c r="G80" s="199" t="s">
        <v>2043</v>
      </c>
      <c r="H80" s="200" t="s">
        <v>2044</v>
      </c>
      <c r="I80" s="186">
        <v>50</v>
      </c>
      <c r="J80" s="189">
        <v>2400000</v>
      </c>
      <c r="K80" s="189">
        <v>40000</v>
      </c>
      <c r="L80" s="26">
        <v>4004</v>
      </c>
      <c r="M80" s="26">
        <v>5.4999999999999997E-3</v>
      </c>
      <c r="N80" s="26"/>
      <c r="O80" s="26">
        <v>1.32E-2</v>
      </c>
      <c r="P80" s="26"/>
      <c r="Q80" s="26">
        <v>1.8370000000000001E-2</v>
      </c>
      <c r="R80" s="26"/>
      <c r="S80" s="26">
        <v>9.9000000000000008E-3</v>
      </c>
      <c r="T80" s="26"/>
      <c r="U80" s="26">
        <v>1.0999999999999999E-2</v>
      </c>
      <c r="V80" s="26"/>
      <c r="W80" s="26">
        <v>9.9000000000000008E-3</v>
      </c>
      <c r="X80" s="26"/>
      <c r="Y80" s="26">
        <v>1.32E-2</v>
      </c>
      <c r="Z80" s="26"/>
      <c r="AA80" s="26">
        <v>1.9800000000000002E-2</v>
      </c>
      <c r="AB80" s="26"/>
      <c r="AC80" s="26">
        <v>1.32E-2</v>
      </c>
      <c r="AD80" s="26"/>
      <c r="AE80" s="26">
        <v>1.8370000000000001E-2</v>
      </c>
      <c r="AF80" s="26"/>
      <c r="AG80" s="26">
        <v>1.7600000000000001E-2</v>
      </c>
      <c r="AH80" s="26"/>
      <c r="AI80" s="26">
        <v>1.0999999999999999E-2</v>
      </c>
      <c r="AJ80" s="26"/>
      <c r="AK80" s="26">
        <v>1.7600000000000001E-2</v>
      </c>
      <c r="AL80" s="26"/>
      <c r="AM80" s="25" t="s">
        <v>2045</v>
      </c>
      <c r="AN80" s="25" t="s">
        <v>2046</v>
      </c>
      <c r="AO80" s="25">
        <v>123.37</v>
      </c>
      <c r="AP80" s="26" t="s">
        <v>1250</v>
      </c>
      <c r="AQ80" s="189" t="s">
        <v>237</v>
      </c>
      <c r="AR80" s="26">
        <v>0</v>
      </c>
      <c r="AS80" s="25" t="s">
        <v>2047</v>
      </c>
      <c r="AT80" s="26">
        <v>896.67</v>
      </c>
      <c r="AU80" s="26" t="s">
        <v>243</v>
      </c>
      <c r="AV80" s="26" t="s">
        <v>244</v>
      </c>
      <c r="AW80" s="26">
        <v>137.5</v>
      </c>
      <c r="AX80" s="26">
        <v>0</v>
      </c>
      <c r="AY80" s="26">
        <v>0</v>
      </c>
      <c r="AZ80" s="26">
        <v>660</v>
      </c>
      <c r="BA80" s="26">
        <v>2178</v>
      </c>
      <c r="BB80" s="26">
        <v>660</v>
      </c>
      <c r="BC80" s="26">
        <v>880</v>
      </c>
      <c r="BD80" s="26">
        <v>660</v>
      </c>
      <c r="BE80" s="26">
        <v>660</v>
      </c>
      <c r="BF80" s="26">
        <v>1100</v>
      </c>
      <c r="BG80" s="26">
        <v>660</v>
      </c>
      <c r="BH80" s="26">
        <v>2178</v>
      </c>
      <c r="BI80" s="26">
        <v>495</v>
      </c>
      <c r="BJ80" s="26">
        <v>880</v>
      </c>
      <c r="BK80" s="26">
        <v>495</v>
      </c>
      <c r="BL80" s="26" t="s">
        <v>246</v>
      </c>
      <c r="BM80" s="25">
        <v>4.3</v>
      </c>
      <c r="BN80" s="26">
        <v>17</v>
      </c>
      <c r="BO80" s="26">
        <v>35000</v>
      </c>
      <c r="BP80" s="26">
        <v>2400000</v>
      </c>
      <c r="BQ80" s="26">
        <v>53.1</v>
      </c>
      <c r="BR80" s="26" t="s">
        <v>248</v>
      </c>
      <c r="BS80" s="26" t="s">
        <v>113</v>
      </c>
      <c r="BT80" s="26" t="s">
        <v>2</v>
      </c>
      <c r="BU80" s="26" t="s">
        <v>246</v>
      </c>
      <c r="BV80" s="26" t="s">
        <v>249</v>
      </c>
      <c r="BW80" s="26">
        <v>1150</v>
      </c>
      <c r="BX80" s="26">
        <v>7150</v>
      </c>
      <c r="BY80" s="26">
        <v>100</v>
      </c>
      <c r="BZ80" s="26">
        <v>140</v>
      </c>
      <c r="CA80" s="26" t="s">
        <v>2</v>
      </c>
      <c r="CB80" s="26" t="s">
        <v>2</v>
      </c>
      <c r="CC80" s="26" t="s">
        <v>2</v>
      </c>
      <c r="CD80" s="26" t="s">
        <v>3</v>
      </c>
      <c r="CE80" s="26" t="s">
        <v>2</v>
      </c>
      <c r="CF80" s="26">
        <v>710</v>
      </c>
      <c r="CG80" s="26">
        <v>12</v>
      </c>
      <c r="CH80" s="26" t="s">
        <v>135</v>
      </c>
      <c r="CI80" s="26" t="s">
        <v>2</v>
      </c>
      <c r="CJ80" s="26" t="s">
        <v>2</v>
      </c>
      <c r="CK80" s="26">
        <v>2000</v>
      </c>
      <c r="CL80" s="26" t="s">
        <v>2</v>
      </c>
      <c r="CM80" s="26" t="s">
        <v>2</v>
      </c>
      <c r="CN80" s="26" t="s">
        <v>113</v>
      </c>
      <c r="CO80" s="26" t="s">
        <v>255</v>
      </c>
      <c r="CP80" s="26" t="s">
        <v>256</v>
      </c>
      <c r="CQ80" s="26" t="s">
        <v>257</v>
      </c>
      <c r="CR80" s="26" t="s">
        <v>258</v>
      </c>
      <c r="CS80" s="26" t="s">
        <v>3</v>
      </c>
      <c r="CT80" s="26">
        <v>0</v>
      </c>
      <c r="CU80" s="26">
        <v>0</v>
      </c>
      <c r="CV80" s="186" t="str">
        <f t="shared" si="17"/>
        <v>1102YS3AU0</v>
      </c>
      <c r="CW80" s="186" t="str">
        <f t="shared" si="15"/>
        <v>Kyocera</v>
      </c>
      <c r="CX80" s="186" t="str">
        <f>IF(Data!D80="E","Entry",IF(Data!D80="L","Low",IF(Data!D80="M","Medium","High")))</f>
        <v>Medium</v>
      </c>
      <c r="CY80" s="187" t="str">
        <f t="shared" si="16"/>
        <v>MFD-BW_Ky_M_2Y</v>
      </c>
    </row>
    <row r="81" spans="1:103" ht="24.95" customHeight="1" x14ac:dyDescent="0.2">
      <c r="A81" s="25" t="s">
        <v>620</v>
      </c>
      <c r="B81" s="25" t="s">
        <v>434</v>
      </c>
      <c r="C81" s="200" t="s">
        <v>7</v>
      </c>
      <c r="D81" s="199" t="s">
        <v>433</v>
      </c>
      <c r="E81" s="199">
        <v>3</v>
      </c>
      <c r="F81" s="203" t="s">
        <v>156</v>
      </c>
      <c r="G81" s="199" t="s">
        <v>621</v>
      </c>
      <c r="H81" s="199" t="s">
        <v>1935</v>
      </c>
      <c r="I81" s="199">
        <v>40</v>
      </c>
      <c r="J81" s="204">
        <v>200000</v>
      </c>
      <c r="K81" s="204">
        <v>5000</v>
      </c>
      <c r="L81" s="25">
        <v>667.7</v>
      </c>
      <c r="M81" s="25">
        <v>1.43E-2</v>
      </c>
      <c r="N81" s="25"/>
      <c r="O81" s="25">
        <v>2.53E-2</v>
      </c>
      <c r="P81" s="25"/>
      <c r="Q81" s="25">
        <v>4.5870000000000001E-2</v>
      </c>
      <c r="R81" s="25"/>
      <c r="S81" s="25">
        <v>2.1999999999999999E-2</v>
      </c>
      <c r="T81" s="25"/>
      <c r="U81" s="25">
        <v>3.3000000000000002E-2</v>
      </c>
      <c r="V81" s="25"/>
      <c r="W81" s="25">
        <v>2.1999999999999999E-2</v>
      </c>
      <c r="X81" s="25"/>
      <c r="Y81" s="25">
        <v>2.1999999999999999E-2</v>
      </c>
      <c r="Z81" s="25"/>
      <c r="AA81" s="25">
        <v>2.1999999999999999E-2</v>
      </c>
      <c r="AB81" s="25"/>
      <c r="AC81" s="25">
        <v>2.1999999999999999E-2</v>
      </c>
      <c r="AD81" s="25"/>
      <c r="AE81" s="25">
        <v>4.5870000000000001E-2</v>
      </c>
      <c r="AF81" s="25"/>
      <c r="AG81" s="25">
        <v>1.7600000000000001E-2</v>
      </c>
      <c r="AH81" s="25"/>
      <c r="AI81" s="25">
        <v>3.3000000000000002E-2</v>
      </c>
      <c r="AJ81" s="25"/>
      <c r="AK81" s="25">
        <v>1.7600000000000001E-2</v>
      </c>
      <c r="AL81" s="25"/>
      <c r="AM81" s="25" t="s">
        <v>622</v>
      </c>
      <c r="AN81" s="25" t="s">
        <v>623</v>
      </c>
      <c r="AO81" s="25">
        <v>123.42</v>
      </c>
      <c r="AP81" s="25" t="s">
        <v>1250</v>
      </c>
      <c r="AQ81" s="204" t="s">
        <v>237</v>
      </c>
      <c r="AR81" s="25">
        <v>0</v>
      </c>
      <c r="AS81" s="25" t="s">
        <v>624</v>
      </c>
      <c r="AT81" s="25">
        <v>162.69</v>
      </c>
      <c r="AU81" s="25" t="s">
        <v>243</v>
      </c>
      <c r="AV81" s="25" t="s">
        <v>244</v>
      </c>
      <c r="AW81" s="25">
        <v>137.5</v>
      </c>
      <c r="AX81" s="25">
        <v>0</v>
      </c>
      <c r="AY81" s="25">
        <v>0</v>
      </c>
      <c r="AZ81" s="25">
        <v>110</v>
      </c>
      <c r="BA81" s="25">
        <v>792</v>
      </c>
      <c r="BB81" s="25">
        <v>110</v>
      </c>
      <c r="BC81" s="25">
        <v>176</v>
      </c>
      <c r="BD81" s="25">
        <v>110</v>
      </c>
      <c r="BE81" s="25">
        <v>110</v>
      </c>
      <c r="BF81" s="25">
        <v>495</v>
      </c>
      <c r="BG81" s="25">
        <v>110</v>
      </c>
      <c r="BH81" s="25">
        <v>792</v>
      </c>
      <c r="BI81" s="25">
        <v>495</v>
      </c>
      <c r="BJ81" s="25">
        <v>176</v>
      </c>
      <c r="BK81" s="25">
        <v>495</v>
      </c>
      <c r="BL81" s="25" t="s">
        <v>247</v>
      </c>
      <c r="BM81" s="25">
        <v>6.4</v>
      </c>
      <c r="BN81" s="25">
        <v>17</v>
      </c>
      <c r="BO81" s="25">
        <v>3000</v>
      </c>
      <c r="BP81" s="25">
        <v>200000</v>
      </c>
      <c r="BQ81" s="25">
        <v>48.3</v>
      </c>
      <c r="BR81" s="25" t="s">
        <v>248</v>
      </c>
      <c r="BS81" s="25" t="s">
        <v>113</v>
      </c>
      <c r="BT81" s="25" t="s">
        <v>2</v>
      </c>
      <c r="BU81" s="25" t="s">
        <v>247</v>
      </c>
      <c r="BV81" s="25" t="s">
        <v>250</v>
      </c>
      <c r="BW81" s="25">
        <v>350</v>
      </c>
      <c r="BX81" s="25">
        <v>850</v>
      </c>
      <c r="BY81" s="25">
        <v>100</v>
      </c>
      <c r="BZ81" s="25">
        <v>50</v>
      </c>
      <c r="CA81" s="25" t="s">
        <v>2</v>
      </c>
      <c r="CB81" s="25" t="s">
        <v>2</v>
      </c>
      <c r="CC81" s="25" t="s">
        <v>2</v>
      </c>
      <c r="CD81" s="25" t="s">
        <v>3</v>
      </c>
      <c r="CE81" s="25" t="s">
        <v>3</v>
      </c>
      <c r="CF81" s="25">
        <v>661</v>
      </c>
      <c r="CG81" s="25">
        <v>24</v>
      </c>
      <c r="CH81" s="25" t="s">
        <v>625</v>
      </c>
      <c r="CI81" s="25" t="s">
        <v>2</v>
      </c>
      <c r="CJ81" s="25" t="s">
        <v>2</v>
      </c>
      <c r="CK81" s="25">
        <v>200</v>
      </c>
      <c r="CL81" s="25" t="s">
        <v>2</v>
      </c>
      <c r="CM81" s="25" t="s">
        <v>2</v>
      </c>
      <c r="CN81" s="25" t="s">
        <v>113</v>
      </c>
      <c r="CO81" s="25" t="s">
        <v>255</v>
      </c>
      <c r="CP81" s="25" t="s">
        <v>256</v>
      </c>
      <c r="CQ81" s="25" t="s">
        <v>257</v>
      </c>
      <c r="CR81" s="25" t="s">
        <v>258</v>
      </c>
      <c r="CS81" s="25" t="s">
        <v>3</v>
      </c>
      <c r="CT81" s="25">
        <v>0</v>
      </c>
      <c r="CU81" s="25">
        <v>0</v>
      </c>
      <c r="CV81" s="199" t="str">
        <f t="shared" si="17"/>
        <v>1102S33AS0</v>
      </c>
      <c r="CW81" s="199" t="str">
        <f t="shared" si="15"/>
        <v>Kyocera</v>
      </c>
      <c r="CX81" s="199" t="str">
        <f>IF(Data!D81="E","Entry",IF(Data!D81="L","Low",IF(Data!D81="M","Medium","High")))</f>
        <v>Medium</v>
      </c>
      <c r="CY81" s="206" t="str">
        <f t="shared" si="16"/>
        <v>MFD-BW_Ky_M_3Y</v>
      </c>
    </row>
    <row r="82" spans="1:103" ht="24.95" customHeight="1" x14ac:dyDescent="0.2">
      <c r="A82" s="25" t="s">
        <v>626</v>
      </c>
      <c r="B82" s="25" t="s">
        <v>434</v>
      </c>
      <c r="C82" s="200" t="s">
        <v>7</v>
      </c>
      <c r="D82" s="199" t="s">
        <v>432</v>
      </c>
      <c r="E82" s="199">
        <v>1</v>
      </c>
      <c r="F82" s="203" t="s">
        <v>157</v>
      </c>
      <c r="G82" s="199" t="s">
        <v>2048</v>
      </c>
      <c r="H82" s="200" t="s">
        <v>2049</v>
      </c>
      <c r="I82" s="199">
        <v>60</v>
      </c>
      <c r="J82" s="204">
        <v>2500000</v>
      </c>
      <c r="K82" s="204">
        <v>50000</v>
      </c>
      <c r="L82" s="25">
        <v>4631</v>
      </c>
      <c r="M82" s="25">
        <v>5.4999999999999997E-3</v>
      </c>
      <c r="N82" s="25"/>
      <c r="O82" s="25">
        <v>1.32E-2</v>
      </c>
      <c r="P82" s="25"/>
      <c r="Q82" s="25">
        <v>1.8370000000000001E-2</v>
      </c>
      <c r="R82" s="25"/>
      <c r="S82" s="25">
        <v>9.9000000000000008E-3</v>
      </c>
      <c r="T82" s="25"/>
      <c r="U82" s="25">
        <v>1.0999999999999999E-2</v>
      </c>
      <c r="V82" s="25"/>
      <c r="W82" s="25">
        <v>9.9000000000000008E-3</v>
      </c>
      <c r="X82" s="25"/>
      <c r="Y82" s="25">
        <v>1.32E-2</v>
      </c>
      <c r="Z82" s="25"/>
      <c r="AA82" s="25">
        <v>1.7600000000000001E-2</v>
      </c>
      <c r="AB82" s="25"/>
      <c r="AC82" s="25">
        <v>1.32E-2</v>
      </c>
      <c r="AD82" s="25"/>
      <c r="AE82" s="25">
        <v>1.8370000000000001E-2</v>
      </c>
      <c r="AF82" s="25"/>
      <c r="AG82" s="25">
        <v>1.7600000000000001E-2</v>
      </c>
      <c r="AH82" s="25"/>
      <c r="AI82" s="25">
        <v>1.0999999999999999E-2</v>
      </c>
      <c r="AJ82" s="25"/>
      <c r="AK82" s="25">
        <v>1.7600000000000001E-2</v>
      </c>
      <c r="AL82" s="25"/>
      <c r="AM82" s="25" t="s">
        <v>2045</v>
      </c>
      <c r="AN82" s="25" t="s">
        <v>2046</v>
      </c>
      <c r="AO82" s="25">
        <v>123.37</v>
      </c>
      <c r="AP82" s="25" t="s">
        <v>1250</v>
      </c>
      <c r="AQ82" s="204" t="s">
        <v>237</v>
      </c>
      <c r="AR82" s="25">
        <v>0</v>
      </c>
      <c r="AS82" s="25" t="s">
        <v>2047</v>
      </c>
      <c r="AT82" s="25">
        <v>896.67</v>
      </c>
      <c r="AU82" s="25" t="s">
        <v>243</v>
      </c>
      <c r="AV82" s="25" t="s">
        <v>244</v>
      </c>
      <c r="AW82" s="25">
        <v>137.5</v>
      </c>
      <c r="AX82" s="25">
        <v>0</v>
      </c>
      <c r="AY82" s="25">
        <v>0</v>
      </c>
      <c r="AZ82" s="25">
        <v>770</v>
      </c>
      <c r="BA82" s="25">
        <v>2178</v>
      </c>
      <c r="BB82" s="25">
        <v>770</v>
      </c>
      <c r="BC82" s="25">
        <v>990</v>
      </c>
      <c r="BD82" s="25">
        <v>770</v>
      </c>
      <c r="BE82" s="25">
        <v>660</v>
      </c>
      <c r="BF82" s="25">
        <v>1540</v>
      </c>
      <c r="BG82" s="25">
        <v>660</v>
      </c>
      <c r="BH82" s="25">
        <v>2178</v>
      </c>
      <c r="BI82" s="25">
        <v>495</v>
      </c>
      <c r="BJ82" s="25">
        <v>990</v>
      </c>
      <c r="BK82" s="25">
        <v>495</v>
      </c>
      <c r="BL82" s="25" t="s">
        <v>246</v>
      </c>
      <c r="BM82" s="25">
        <v>3.7</v>
      </c>
      <c r="BN82" s="25">
        <v>17</v>
      </c>
      <c r="BO82" s="25">
        <v>45000</v>
      </c>
      <c r="BP82" s="25">
        <v>3000000</v>
      </c>
      <c r="BQ82" s="25">
        <v>70</v>
      </c>
      <c r="BR82" s="25" t="s">
        <v>248</v>
      </c>
      <c r="BS82" s="25" t="s">
        <v>113</v>
      </c>
      <c r="BT82" s="25" t="s">
        <v>2</v>
      </c>
      <c r="BU82" s="25" t="s">
        <v>246</v>
      </c>
      <c r="BV82" s="25" t="s">
        <v>249</v>
      </c>
      <c r="BW82" s="25">
        <v>1150</v>
      </c>
      <c r="BX82" s="25">
        <v>7150</v>
      </c>
      <c r="BY82" s="25">
        <v>100</v>
      </c>
      <c r="BZ82" s="25">
        <v>140</v>
      </c>
      <c r="CA82" s="25" t="s">
        <v>2</v>
      </c>
      <c r="CB82" s="25" t="s">
        <v>2</v>
      </c>
      <c r="CC82" s="25" t="s">
        <v>2</v>
      </c>
      <c r="CD82" s="25" t="s">
        <v>3</v>
      </c>
      <c r="CE82" s="25" t="s">
        <v>2</v>
      </c>
      <c r="CF82" s="25">
        <v>820</v>
      </c>
      <c r="CG82" s="25">
        <v>12</v>
      </c>
      <c r="CH82" s="25" t="s">
        <v>135</v>
      </c>
      <c r="CI82" s="25" t="s">
        <v>2</v>
      </c>
      <c r="CJ82" s="25" t="s">
        <v>2</v>
      </c>
      <c r="CK82" s="25">
        <v>2000</v>
      </c>
      <c r="CL82" s="25" t="s">
        <v>2</v>
      </c>
      <c r="CM82" s="25" t="s">
        <v>2</v>
      </c>
      <c r="CN82" s="25" t="s">
        <v>113</v>
      </c>
      <c r="CO82" s="25" t="s">
        <v>255</v>
      </c>
      <c r="CP82" s="25" t="s">
        <v>256</v>
      </c>
      <c r="CQ82" s="25" t="s">
        <v>257</v>
      </c>
      <c r="CR82" s="25" t="s">
        <v>258</v>
      </c>
      <c r="CS82" s="25" t="s">
        <v>3</v>
      </c>
      <c r="CT82" s="25">
        <v>0</v>
      </c>
      <c r="CU82" s="25">
        <v>0</v>
      </c>
      <c r="CV82" s="199" t="str">
        <f t="shared" si="17"/>
        <v>822UG06004</v>
      </c>
      <c r="CW82" s="199" t="str">
        <f t="shared" si="15"/>
        <v>Kyocera</v>
      </c>
      <c r="CX82" s="199" t="str">
        <f>IF(Data!D82="E","Entry",IF(Data!D82="L","Low",IF(Data!D82="M","Medium","High")))</f>
        <v>High</v>
      </c>
      <c r="CY82" s="206" t="str">
        <f t="shared" si="16"/>
        <v>MFD-BW_Ky_H_1Y</v>
      </c>
    </row>
    <row r="83" spans="1:103" ht="24.95" customHeight="1" x14ac:dyDescent="0.2">
      <c r="A83" s="25" t="s">
        <v>627</v>
      </c>
      <c r="B83" s="25" t="s">
        <v>434</v>
      </c>
      <c r="C83" s="200" t="s">
        <v>7</v>
      </c>
      <c r="D83" s="199" t="s">
        <v>432</v>
      </c>
      <c r="E83" s="199">
        <v>2</v>
      </c>
      <c r="F83" s="203" t="s">
        <v>157</v>
      </c>
      <c r="G83" s="199" t="s">
        <v>2050</v>
      </c>
      <c r="H83" s="199" t="s">
        <v>2051</v>
      </c>
      <c r="I83" s="199">
        <v>70</v>
      </c>
      <c r="J83" s="204">
        <v>2800000</v>
      </c>
      <c r="K83" s="204">
        <v>50000</v>
      </c>
      <c r="L83" s="25">
        <v>6529.6</v>
      </c>
      <c r="M83" s="25">
        <v>5.4999999999999997E-3</v>
      </c>
      <c r="N83" s="25"/>
      <c r="O83" s="25">
        <v>1.0999999999999999E-2</v>
      </c>
      <c r="P83" s="25"/>
      <c r="Q83" s="25">
        <v>1.7049999999999999E-2</v>
      </c>
      <c r="R83" s="25"/>
      <c r="S83" s="25">
        <v>9.9000000000000008E-3</v>
      </c>
      <c r="T83" s="25"/>
      <c r="U83" s="25">
        <v>1.0999999999999999E-2</v>
      </c>
      <c r="V83" s="25"/>
      <c r="W83" s="25">
        <v>9.9000000000000008E-3</v>
      </c>
      <c r="X83" s="25"/>
      <c r="Y83" s="25">
        <v>1.0999999999999999E-2</v>
      </c>
      <c r="Z83" s="25"/>
      <c r="AA83" s="25">
        <v>1.7600000000000001E-2</v>
      </c>
      <c r="AB83" s="25"/>
      <c r="AC83" s="25">
        <v>1.0999999999999999E-2</v>
      </c>
      <c r="AD83" s="25"/>
      <c r="AE83" s="25">
        <v>1.7049999999999999E-2</v>
      </c>
      <c r="AF83" s="25"/>
      <c r="AG83" s="25">
        <v>1.7600000000000001E-2</v>
      </c>
      <c r="AH83" s="25"/>
      <c r="AI83" s="25">
        <v>1.0999999999999999E-2</v>
      </c>
      <c r="AJ83" s="25"/>
      <c r="AK83" s="25">
        <v>1.7600000000000001E-2</v>
      </c>
      <c r="AL83" s="25"/>
      <c r="AM83" s="25" t="s">
        <v>2045</v>
      </c>
      <c r="AN83" s="25" t="s">
        <v>2046</v>
      </c>
      <c r="AO83" s="25">
        <v>123.37</v>
      </c>
      <c r="AP83" s="25" t="s">
        <v>1250</v>
      </c>
      <c r="AQ83" s="204" t="s">
        <v>237</v>
      </c>
      <c r="AR83" s="25">
        <v>0</v>
      </c>
      <c r="AS83" s="25" t="s">
        <v>2047</v>
      </c>
      <c r="AT83" s="25">
        <v>896.67</v>
      </c>
      <c r="AU83" s="25" t="s">
        <v>243</v>
      </c>
      <c r="AV83" s="25" t="s">
        <v>244</v>
      </c>
      <c r="AW83" s="25">
        <v>137.5</v>
      </c>
      <c r="AX83" s="25">
        <v>0</v>
      </c>
      <c r="AY83" s="25">
        <v>0</v>
      </c>
      <c r="AZ83" s="25">
        <v>990</v>
      </c>
      <c r="BA83" s="25">
        <v>2574</v>
      </c>
      <c r="BB83" s="25">
        <v>990</v>
      </c>
      <c r="BC83" s="25">
        <v>1210</v>
      </c>
      <c r="BD83" s="25">
        <v>990</v>
      </c>
      <c r="BE83" s="25">
        <v>880</v>
      </c>
      <c r="BF83" s="25">
        <v>1540</v>
      </c>
      <c r="BG83" s="25">
        <v>880</v>
      </c>
      <c r="BH83" s="25">
        <v>2574</v>
      </c>
      <c r="BI83" s="25">
        <v>550</v>
      </c>
      <c r="BJ83" s="25">
        <v>1210</v>
      </c>
      <c r="BK83" s="25">
        <v>550</v>
      </c>
      <c r="BL83" s="25" t="s">
        <v>246</v>
      </c>
      <c r="BM83" s="25">
        <v>3.7</v>
      </c>
      <c r="BN83" s="25">
        <v>17</v>
      </c>
      <c r="BO83" s="25">
        <v>60000</v>
      </c>
      <c r="BP83" s="25">
        <v>4800000</v>
      </c>
      <c r="BQ83" s="25">
        <v>70</v>
      </c>
      <c r="BR83" s="25" t="s">
        <v>248</v>
      </c>
      <c r="BS83" s="25" t="s">
        <v>113</v>
      </c>
      <c r="BT83" s="25" t="s">
        <v>2</v>
      </c>
      <c r="BU83" s="25" t="s">
        <v>246</v>
      </c>
      <c r="BV83" s="25" t="s">
        <v>631</v>
      </c>
      <c r="BW83" s="25">
        <v>4150</v>
      </c>
      <c r="BX83" s="25">
        <v>7650</v>
      </c>
      <c r="BY83" s="25">
        <v>150</v>
      </c>
      <c r="BZ83" s="25">
        <v>270</v>
      </c>
      <c r="CA83" s="25" t="s">
        <v>2</v>
      </c>
      <c r="CB83" s="25" t="s">
        <v>2</v>
      </c>
      <c r="CC83" s="25" t="s">
        <v>2</v>
      </c>
      <c r="CD83" s="25" t="s">
        <v>3</v>
      </c>
      <c r="CE83" s="25" t="s">
        <v>3</v>
      </c>
      <c r="CF83" s="25">
        <v>820</v>
      </c>
      <c r="CG83" s="25">
        <v>12</v>
      </c>
      <c r="CH83" s="25" t="s">
        <v>135</v>
      </c>
      <c r="CI83" s="25" t="s">
        <v>2</v>
      </c>
      <c r="CJ83" s="25" t="s">
        <v>2</v>
      </c>
      <c r="CK83" s="25">
        <v>2000</v>
      </c>
      <c r="CL83" s="25" t="s">
        <v>2</v>
      </c>
      <c r="CM83" s="25" t="s">
        <v>2</v>
      </c>
      <c r="CN83" s="25" t="s">
        <v>113</v>
      </c>
      <c r="CO83" s="25" t="s">
        <v>255</v>
      </c>
      <c r="CP83" s="25" t="s">
        <v>256</v>
      </c>
      <c r="CQ83" s="25" t="s">
        <v>257</v>
      </c>
      <c r="CR83" s="25" t="s">
        <v>258</v>
      </c>
      <c r="CS83" s="25" t="s">
        <v>3</v>
      </c>
      <c r="CT83" s="25">
        <v>0</v>
      </c>
      <c r="CU83" s="25">
        <v>0</v>
      </c>
      <c r="CV83" s="199" t="str">
        <f t="shared" si="17"/>
        <v>822UG07004</v>
      </c>
      <c r="CW83" s="199" t="str">
        <f t="shared" si="15"/>
        <v>Kyocera</v>
      </c>
      <c r="CX83" s="199" t="str">
        <f>IF(Data!D83="E","Entry",IF(Data!D83="L","Low",IF(Data!D83="M","Medium","High")))</f>
        <v>High</v>
      </c>
      <c r="CY83" s="206" t="str">
        <f t="shared" si="16"/>
        <v>MFD-BW_Ky_H_2Y</v>
      </c>
    </row>
    <row r="84" spans="1:103" ht="24.95" customHeight="1" x14ac:dyDescent="0.2">
      <c r="A84" s="25" t="s">
        <v>632</v>
      </c>
      <c r="B84" s="25" t="s">
        <v>434</v>
      </c>
      <c r="C84" s="200" t="s">
        <v>7</v>
      </c>
      <c r="D84" s="199" t="s">
        <v>432</v>
      </c>
      <c r="E84" s="199">
        <v>3</v>
      </c>
      <c r="F84" s="203" t="s">
        <v>1969</v>
      </c>
      <c r="G84" s="199" t="s">
        <v>1970</v>
      </c>
      <c r="H84" s="199" t="s">
        <v>1971</v>
      </c>
      <c r="I84" s="199">
        <v>90</v>
      </c>
      <c r="J84" s="204">
        <v>5000000</v>
      </c>
      <c r="K84" s="204">
        <v>100000</v>
      </c>
      <c r="L84" s="25">
        <v>12749</v>
      </c>
      <c r="M84" s="25">
        <v>5.4999999999999997E-3</v>
      </c>
      <c r="N84" s="25"/>
      <c r="O84" s="25">
        <v>1.0999999999999999E-2</v>
      </c>
      <c r="P84" s="25"/>
      <c r="Q84" s="25">
        <v>1.7049999999999999E-2</v>
      </c>
      <c r="R84" s="25"/>
      <c r="S84" s="25">
        <v>9.9000000000000008E-3</v>
      </c>
      <c r="T84" s="25"/>
      <c r="U84" s="25">
        <v>1.0999999999999999E-2</v>
      </c>
      <c r="V84" s="25"/>
      <c r="W84" s="25">
        <v>9.9000000000000008E-3</v>
      </c>
      <c r="X84" s="25"/>
      <c r="Y84" s="25">
        <v>1.0999999999999999E-2</v>
      </c>
      <c r="Z84" s="25"/>
      <c r="AA84" s="25">
        <v>1.54E-2</v>
      </c>
      <c r="AB84" s="25"/>
      <c r="AC84" s="25">
        <v>1.0999999999999999E-2</v>
      </c>
      <c r="AD84" s="25"/>
      <c r="AE84" s="25">
        <v>1.7049999999999999E-2</v>
      </c>
      <c r="AF84" s="25"/>
      <c r="AG84" s="25">
        <v>1.7600000000000001E-2</v>
      </c>
      <c r="AH84" s="25"/>
      <c r="AI84" s="25">
        <v>1.0999999999999999E-2</v>
      </c>
      <c r="AJ84" s="25"/>
      <c r="AK84" s="25">
        <v>1.7600000000000001E-2</v>
      </c>
      <c r="AL84" s="25"/>
      <c r="AM84" s="25" t="s">
        <v>628</v>
      </c>
      <c r="AN84" s="25" t="s">
        <v>629</v>
      </c>
      <c r="AO84" s="25">
        <v>138.08000000000001</v>
      </c>
      <c r="AP84" s="25" t="s">
        <v>1250</v>
      </c>
      <c r="AQ84" s="204" t="s">
        <v>237</v>
      </c>
      <c r="AR84" s="25">
        <v>0</v>
      </c>
      <c r="AS84" s="25" t="s">
        <v>630</v>
      </c>
      <c r="AT84" s="25">
        <v>1327.7</v>
      </c>
      <c r="AU84" s="25" t="s">
        <v>1972</v>
      </c>
      <c r="AV84" s="25" t="s">
        <v>244</v>
      </c>
      <c r="AW84" s="25">
        <v>137.5</v>
      </c>
      <c r="AX84" s="25">
        <v>0</v>
      </c>
      <c r="AY84" s="25">
        <v>0</v>
      </c>
      <c r="AZ84" s="25">
        <v>1210</v>
      </c>
      <c r="BA84" s="25">
        <v>2574</v>
      </c>
      <c r="BB84" s="25">
        <v>1210</v>
      </c>
      <c r="BC84" s="25">
        <v>1650</v>
      </c>
      <c r="BD84" s="25">
        <v>1210</v>
      </c>
      <c r="BE84" s="25">
        <v>990</v>
      </c>
      <c r="BF84" s="25">
        <v>1760</v>
      </c>
      <c r="BG84" s="25">
        <v>990</v>
      </c>
      <c r="BH84" s="25">
        <v>2574</v>
      </c>
      <c r="BI84" s="25">
        <v>550</v>
      </c>
      <c r="BJ84" s="25">
        <v>1650</v>
      </c>
      <c r="BK84" s="25">
        <v>550</v>
      </c>
      <c r="BL84" s="25" t="s">
        <v>246</v>
      </c>
      <c r="BM84" s="25">
        <v>4</v>
      </c>
      <c r="BN84" s="25">
        <v>30</v>
      </c>
      <c r="BO84" s="25">
        <v>80000</v>
      </c>
      <c r="BP84" s="25">
        <v>5000000</v>
      </c>
      <c r="BQ84" s="25">
        <v>75</v>
      </c>
      <c r="BR84" s="25" t="s">
        <v>248</v>
      </c>
      <c r="BS84" s="25" t="s">
        <v>113</v>
      </c>
      <c r="BT84" s="25" t="s">
        <v>2</v>
      </c>
      <c r="BU84" s="25" t="s">
        <v>246</v>
      </c>
      <c r="BV84" s="25" t="s">
        <v>631</v>
      </c>
      <c r="BW84" s="25">
        <v>4150</v>
      </c>
      <c r="BX84" s="25">
        <v>7650</v>
      </c>
      <c r="BY84" s="25">
        <v>150</v>
      </c>
      <c r="BZ84" s="25">
        <v>270</v>
      </c>
      <c r="CA84" s="25" t="s">
        <v>2</v>
      </c>
      <c r="CB84" s="25" t="s">
        <v>2</v>
      </c>
      <c r="CC84" s="25" t="s">
        <v>2</v>
      </c>
      <c r="CD84" s="25" t="s">
        <v>3</v>
      </c>
      <c r="CE84" s="25" t="s">
        <v>3</v>
      </c>
      <c r="CF84" s="25">
        <v>1340</v>
      </c>
      <c r="CG84" s="25">
        <v>12</v>
      </c>
      <c r="CH84" s="25" t="s">
        <v>254</v>
      </c>
      <c r="CI84" s="25" t="s">
        <v>2</v>
      </c>
      <c r="CJ84" s="25" t="s">
        <v>2</v>
      </c>
      <c r="CK84" s="25">
        <v>2000</v>
      </c>
      <c r="CL84" s="25" t="s">
        <v>2</v>
      </c>
      <c r="CM84" s="25" t="s">
        <v>2</v>
      </c>
      <c r="CN84" s="25" t="s">
        <v>113</v>
      </c>
      <c r="CO84" s="25" t="s">
        <v>255</v>
      </c>
      <c r="CP84" s="25" t="s">
        <v>256</v>
      </c>
      <c r="CQ84" s="25" t="s">
        <v>257</v>
      </c>
      <c r="CR84" s="25" t="s">
        <v>258</v>
      </c>
      <c r="CS84" s="25" t="s">
        <v>3</v>
      </c>
      <c r="CT84" s="25">
        <v>0</v>
      </c>
      <c r="CU84" s="25">
        <v>0</v>
      </c>
      <c r="CV84" s="199" t="str">
        <f t="shared" si="17"/>
        <v>1102XT3AU0</v>
      </c>
      <c r="CW84" s="199" t="str">
        <f t="shared" si="15"/>
        <v>Kyocera</v>
      </c>
      <c r="CX84" s="199" t="str">
        <f>IF(Data!D84="E","Entry",IF(Data!D84="L","Low",IF(Data!D84="M","Medium","High")))</f>
        <v>High</v>
      </c>
      <c r="CY84" s="206" t="str">
        <f t="shared" si="16"/>
        <v>MFD-BW_Ky_H_3Y</v>
      </c>
    </row>
    <row r="85" spans="1:103" ht="24.95" customHeight="1" x14ac:dyDescent="0.2">
      <c r="A85" s="25" t="s">
        <v>633</v>
      </c>
      <c r="B85" s="25" t="s">
        <v>434</v>
      </c>
      <c r="C85" s="200" t="s">
        <v>8</v>
      </c>
      <c r="D85" s="199" t="s">
        <v>403</v>
      </c>
      <c r="E85" s="199">
        <v>1</v>
      </c>
      <c r="F85" s="203" t="s">
        <v>154</v>
      </c>
      <c r="G85" s="199">
        <v>408534</v>
      </c>
      <c r="H85" s="199" t="s">
        <v>2116</v>
      </c>
      <c r="I85" s="199">
        <v>30</v>
      </c>
      <c r="J85" s="204">
        <v>360000</v>
      </c>
      <c r="K85" s="204">
        <v>6000</v>
      </c>
      <c r="L85" s="300">
        <v>496.58400000000006</v>
      </c>
      <c r="M85" s="25">
        <v>2.0899999999999998E-2</v>
      </c>
      <c r="N85" s="25"/>
      <c r="O85" s="25" t="s">
        <v>0</v>
      </c>
      <c r="P85" s="25"/>
      <c r="Q85" s="25" t="s">
        <v>0</v>
      </c>
      <c r="R85" s="25"/>
      <c r="S85" s="25">
        <v>4.3999999999999997E-2</v>
      </c>
      <c r="T85" s="25"/>
      <c r="U85" s="25">
        <v>5.5E-2</v>
      </c>
      <c r="V85" s="25"/>
      <c r="W85" s="25">
        <v>4.1579999999999999E-2</v>
      </c>
      <c r="X85" s="25"/>
      <c r="Y85" s="25">
        <v>2.75E-2</v>
      </c>
      <c r="Z85" s="25"/>
      <c r="AA85" s="25">
        <v>3.9600000000000003E-2</v>
      </c>
      <c r="AB85" s="25"/>
      <c r="AC85" s="25">
        <v>4.3999999999999997E-2</v>
      </c>
      <c r="AD85" s="25"/>
      <c r="AE85" s="25">
        <v>3.78E-2</v>
      </c>
      <c r="AF85" s="25"/>
      <c r="AG85" s="25">
        <v>4.9500000000000002E-2</v>
      </c>
      <c r="AH85" s="25"/>
      <c r="AI85" s="25">
        <v>5.5E-2</v>
      </c>
      <c r="AJ85" s="25"/>
      <c r="AK85" s="25">
        <v>4.9500000000000002E-2</v>
      </c>
      <c r="AL85" s="25"/>
      <c r="AM85" s="25" t="s">
        <v>259</v>
      </c>
      <c r="AN85" s="25" t="s">
        <v>259</v>
      </c>
      <c r="AO85" s="25" t="s">
        <v>259</v>
      </c>
      <c r="AP85" s="25" t="s">
        <v>1250</v>
      </c>
      <c r="AQ85" s="204" t="s">
        <v>259</v>
      </c>
      <c r="AR85" s="25" t="s">
        <v>259</v>
      </c>
      <c r="AS85" s="25" t="s">
        <v>259</v>
      </c>
      <c r="AT85" s="25" t="s">
        <v>259</v>
      </c>
      <c r="AU85" s="25">
        <v>410802</v>
      </c>
      <c r="AV85" s="25" t="s">
        <v>260</v>
      </c>
      <c r="AW85" s="25">
        <v>75.900000000000006</v>
      </c>
      <c r="AX85" s="25" t="s">
        <v>1760</v>
      </c>
      <c r="AY85" s="25">
        <v>0</v>
      </c>
      <c r="AZ85" s="25">
        <v>0</v>
      </c>
      <c r="BA85" s="25">
        <v>0</v>
      </c>
      <c r="BB85" s="25">
        <v>434.65840000000003</v>
      </c>
      <c r="BC85" s="25">
        <v>280.65840000000003</v>
      </c>
      <c r="BD85" s="25">
        <v>434.65840000000003</v>
      </c>
      <c r="BE85" s="25">
        <v>256.65840000000003</v>
      </c>
      <c r="BF85" s="25">
        <v>434.65840000000003</v>
      </c>
      <c r="BG85" s="25">
        <v>434.65840000000003</v>
      </c>
      <c r="BH85" s="25">
        <v>445.65840000000003</v>
      </c>
      <c r="BI85" s="25">
        <v>379.65840000000003</v>
      </c>
      <c r="BJ85" s="25">
        <v>280.65840000000003</v>
      </c>
      <c r="BK85" s="25">
        <v>379.65840000000003</v>
      </c>
      <c r="BL85" s="25" t="s">
        <v>263</v>
      </c>
      <c r="BM85" s="25" t="s">
        <v>2121</v>
      </c>
      <c r="BN85" s="25" t="s">
        <v>529</v>
      </c>
      <c r="BO85" s="25">
        <v>1600</v>
      </c>
      <c r="BP85" s="25">
        <v>360000</v>
      </c>
      <c r="BQ85" s="25" t="s">
        <v>276</v>
      </c>
      <c r="BR85" s="25" t="s">
        <v>636</v>
      </c>
      <c r="BS85" s="25" t="s">
        <v>136</v>
      </c>
      <c r="BT85" s="25" t="s">
        <v>2</v>
      </c>
      <c r="BU85" s="25" t="s">
        <v>2122</v>
      </c>
      <c r="BV85" s="25" t="s">
        <v>681</v>
      </c>
      <c r="BW85" s="25" t="s">
        <v>2123</v>
      </c>
      <c r="BX85" s="25" t="s">
        <v>2124</v>
      </c>
      <c r="BY85" s="25" t="s">
        <v>122</v>
      </c>
      <c r="BZ85" s="25" t="s">
        <v>2125</v>
      </c>
      <c r="CA85" s="25" t="s">
        <v>2</v>
      </c>
      <c r="CB85" s="25" t="s">
        <v>2</v>
      </c>
      <c r="CC85" s="25" t="s">
        <v>2</v>
      </c>
      <c r="CD85" s="25" t="s">
        <v>3</v>
      </c>
      <c r="CE85" s="25" t="s">
        <v>2</v>
      </c>
      <c r="CF85" s="25" t="s">
        <v>642</v>
      </c>
      <c r="CG85" s="25" t="s">
        <v>307</v>
      </c>
      <c r="CH85" s="25" t="s">
        <v>2126</v>
      </c>
      <c r="CI85" s="25" t="s">
        <v>644</v>
      </c>
      <c r="CJ85" s="25" t="s">
        <v>2</v>
      </c>
      <c r="CK85" s="25" t="s">
        <v>312</v>
      </c>
      <c r="CL85" s="25" t="s">
        <v>644</v>
      </c>
      <c r="CM85" s="25" t="s">
        <v>2</v>
      </c>
      <c r="CN85" s="25" t="s">
        <v>645</v>
      </c>
      <c r="CO85" s="25" t="s">
        <v>317</v>
      </c>
      <c r="CP85" s="25" t="s">
        <v>320</v>
      </c>
      <c r="CQ85" s="25" t="s">
        <v>646</v>
      </c>
      <c r="CR85" s="25" t="s">
        <v>647</v>
      </c>
      <c r="CS85" s="25" t="s">
        <v>3</v>
      </c>
      <c r="CT85" s="25" t="s">
        <v>648</v>
      </c>
      <c r="CU85" s="25">
        <v>0</v>
      </c>
      <c r="CV85" s="199">
        <f t="shared" si="17"/>
        <v>408534</v>
      </c>
      <c r="CW85" s="199" t="str">
        <f t="shared" si="15"/>
        <v>Ricoh</v>
      </c>
      <c r="CX85" s="199" t="str">
        <f>IF(Data!D85="E","Entry",IF(Data!D85="L","Low",IF(Data!D85="M","Medium","High")))</f>
        <v>Entry</v>
      </c>
      <c r="CY85" s="206" t="str">
        <f t="shared" si="16"/>
        <v>MFD-BW_Ri_E_1Y</v>
      </c>
    </row>
    <row r="86" spans="1:103" ht="20.100000000000001" customHeight="1" x14ac:dyDescent="0.2">
      <c r="A86" s="25" t="s">
        <v>649</v>
      </c>
      <c r="B86" s="25" t="s">
        <v>434</v>
      </c>
      <c r="C86" s="200" t="s">
        <v>8</v>
      </c>
      <c r="D86" s="199" t="s">
        <v>435</v>
      </c>
      <c r="E86" s="199">
        <v>1</v>
      </c>
      <c r="F86" s="203" t="s">
        <v>155</v>
      </c>
      <c r="G86" s="199">
        <v>418844</v>
      </c>
      <c r="H86" s="199" t="s">
        <v>2028</v>
      </c>
      <c r="I86" s="199">
        <v>30</v>
      </c>
      <c r="J86" s="204">
        <v>1200000</v>
      </c>
      <c r="K86" s="204">
        <v>20000</v>
      </c>
      <c r="L86" s="300">
        <v>2693.1959999999999</v>
      </c>
      <c r="M86" s="25">
        <v>5.5000000000000005E-3</v>
      </c>
      <c r="N86" s="25"/>
      <c r="O86" s="25" t="s">
        <v>0</v>
      </c>
      <c r="P86" s="25"/>
      <c r="Q86" s="25" t="s">
        <v>0</v>
      </c>
      <c r="R86" s="25"/>
      <c r="S86" s="25">
        <v>1.43E-2</v>
      </c>
      <c r="T86" s="25"/>
      <c r="U86" s="25">
        <v>1.7600000000000001E-2</v>
      </c>
      <c r="V86" s="25"/>
      <c r="W86" s="25">
        <v>1.397E-2</v>
      </c>
      <c r="X86" s="25"/>
      <c r="Y86" s="25">
        <v>1.3200000000000002E-2</v>
      </c>
      <c r="Z86" s="25"/>
      <c r="AA86" s="25">
        <v>2.2000000000000002E-2</v>
      </c>
      <c r="AB86" s="25"/>
      <c r="AC86" s="25">
        <v>1.3200000000000002E-2</v>
      </c>
      <c r="AD86" s="25"/>
      <c r="AE86" s="25">
        <v>1.9800000000000002E-2</v>
      </c>
      <c r="AF86" s="25"/>
      <c r="AG86" s="25">
        <v>2.0900000000000002E-2</v>
      </c>
      <c r="AH86" s="25"/>
      <c r="AI86" s="25">
        <v>1.7600000000000001E-2</v>
      </c>
      <c r="AJ86" s="25"/>
      <c r="AK86" s="25">
        <v>2.0900000000000002E-2</v>
      </c>
      <c r="AL86" s="25"/>
      <c r="AM86" s="25" t="s">
        <v>259</v>
      </c>
      <c r="AN86" s="25" t="s">
        <v>259</v>
      </c>
      <c r="AO86" s="25" t="s">
        <v>259</v>
      </c>
      <c r="AP86" s="25" t="s">
        <v>1250</v>
      </c>
      <c r="AQ86" s="204" t="s">
        <v>259</v>
      </c>
      <c r="AR86" s="25" t="s">
        <v>259</v>
      </c>
      <c r="AS86" s="25" t="s">
        <v>259</v>
      </c>
      <c r="AT86" s="25" t="s">
        <v>259</v>
      </c>
      <c r="AU86" s="25">
        <v>410802</v>
      </c>
      <c r="AV86" s="25" t="s">
        <v>260</v>
      </c>
      <c r="AW86" s="25">
        <v>75.900000000000006</v>
      </c>
      <c r="AX86" s="25" t="s">
        <v>1760</v>
      </c>
      <c r="AY86" s="25">
        <v>0</v>
      </c>
      <c r="AZ86" s="25">
        <v>0</v>
      </c>
      <c r="BA86" s="25">
        <v>0</v>
      </c>
      <c r="BB86" s="25">
        <v>1019.3700000000001</v>
      </c>
      <c r="BC86" s="25">
        <v>854.37000000000012</v>
      </c>
      <c r="BD86" s="25">
        <v>854.37000000000012</v>
      </c>
      <c r="BE86" s="25">
        <v>689.37000000000012</v>
      </c>
      <c r="BF86" s="25">
        <v>1239.3700000000001</v>
      </c>
      <c r="BG86" s="25">
        <v>854.37000000000012</v>
      </c>
      <c r="BH86" s="25">
        <v>1459.3700000000001</v>
      </c>
      <c r="BI86" s="25">
        <v>799.37000000000012</v>
      </c>
      <c r="BJ86" s="25">
        <v>854.37</v>
      </c>
      <c r="BK86" s="25">
        <v>799.37000000000012</v>
      </c>
      <c r="BL86" s="25" t="s">
        <v>634</v>
      </c>
      <c r="BM86" s="25" t="s">
        <v>635</v>
      </c>
      <c r="BN86" s="25" t="s">
        <v>529</v>
      </c>
      <c r="BO86" s="25">
        <v>20000</v>
      </c>
      <c r="BP86" s="25">
        <v>1200000</v>
      </c>
      <c r="BQ86" s="25" t="s">
        <v>650</v>
      </c>
      <c r="BR86" s="25" t="s">
        <v>636</v>
      </c>
      <c r="BS86" s="25" t="s">
        <v>136</v>
      </c>
      <c r="BT86" s="25" t="s">
        <v>2</v>
      </c>
      <c r="BU86" s="25" t="s">
        <v>634</v>
      </c>
      <c r="BV86" s="25" t="s">
        <v>637</v>
      </c>
      <c r="BW86" s="25" t="s">
        <v>638</v>
      </c>
      <c r="BX86" s="25" t="s">
        <v>639</v>
      </c>
      <c r="BY86" s="25" t="s">
        <v>640</v>
      </c>
      <c r="BZ86" s="25" t="s">
        <v>641</v>
      </c>
      <c r="CA86" s="25" t="s">
        <v>2</v>
      </c>
      <c r="CB86" s="25" t="s">
        <v>2</v>
      </c>
      <c r="CC86" s="25" t="s">
        <v>2</v>
      </c>
      <c r="CD86" s="25" t="s">
        <v>2</v>
      </c>
      <c r="CE86" s="25" t="s">
        <v>2</v>
      </c>
      <c r="CF86" s="25" t="s">
        <v>642</v>
      </c>
      <c r="CG86" s="25" t="s">
        <v>307</v>
      </c>
      <c r="CH86" s="25" t="s">
        <v>643</v>
      </c>
      <c r="CI86" s="25" t="s">
        <v>644</v>
      </c>
      <c r="CJ86" s="25" t="s">
        <v>2</v>
      </c>
      <c r="CK86" s="25" t="s">
        <v>312</v>
      </c>
      <c r="CL86" s="25" t="s">
        <v>644</v>
      </c>
      <c r="CM86" s="25" t="s">
        <v>2</v>
      </c>
      <c r="CN86" s="25" t="s">
        <v>645</v>
      </c>
      <c r="CO86" s="25" t="s">
        <v>317</v>
      </c>
      <c r="CP86" s="25" t="s">
        <v>320</v>
      </c>
      <c r="CQ86" s="25" t="s">
        <v>646</v>
      </c>
      <c r="CR86" s="25" t="s">
        <v>647</v>
      </c>
      <c r="CS86" s="25" t="s">
        <v>3</v>
      </c>
      <c r="CT86" s="25" t="s">
        <v>648</v>
      </c>
      <c r="CU86" s="25">
        <v>0</v>
      </c>
      <c r="CV86" s="199">
        <f t="shared" si="17"/>
        <v>418844</v>
      </c>
      <c r="CW86" s="199" t="str">
        <f t="shared" si="15"/>
        <v>Ricoh</v>
      </c>
      <c r="CX86" s="199" t="str">
        <f>IF(Data!D86="E","Entry",IF(Data!D86="L","Low",IF(Data!D86="M","Medium","High")))</f>
        <v>Low</v>
      </c>
      <c r="CY86" s="206" t="str">
        <f t="shared" si="16"/>
        <v>MFD-BW_Ri_L_1Y</v>
      </c>
    </row>
    <row r="87" spans="1:103" ht="20.100000000000001" customHeight="1" x14ac:dyDescent="0.2">
      <c r="A87" s="25" t="s">
        <v>651</v>
      </c>
      <c r="B87" s="25" t="s">
        <v>434</v>
      </c>
      <c r="C87" s="200" t="s">
        <v>8</v>
      </c>
      <c r="D87" s="199" t="s">
        <v>435</v>
      </c>
      <c r="E87" s="199">
        <v>2</v>
      </c>
      <c r="F87" s="203" t="s">
        <v>155</v>
      </c>
      <c r="G87" s="199">
        <v>417436</v>
      </c>
      <c r="H87" s="199" t="s">
        <v>1956</v>
      </c>
      <c r="I87" s="199">
        <v>30</v>
      </c>
      <c r="J87" s="204">
        <v>450000</v>
      </c>
      <c r="K87" s="204">
        <v>20000</v>
      </c>
      <c r="L87" s="300">
        <v>1181.4000000000001</v>
      </c>
      <c r="M87" s="25">
        <v>1.6500000000000001E-2</v>
      </c>
      <c r="N87" s="25"/>
      <c r="O87" s="25" t="s">
        <v>0</v>
      </c>
      <c r="P87" s="25"/>
      <c r="Q87" s="25" t="s">
        <v>0</v>
      </c>
      <c r="R87" s="25"/>
      <c r="S87" s="25">
        <v>2.2000000000000002E-2</v>
      </c>
      <c r="T87" s="25"/>
      <c r="U87" s="25">
        <v>2.6400000000000003E-2</v>
      </c>
      <c r="V87" s="25"/>
      <c r="W87" s="25">
        <v>1.6610000000000003E-2</v>
      </c>
      <c r="X87" s="25"/>
      <c r="Y87" s="25">
        <v>1.8700000000000001E-2</v>
      </c>
      <c r="Z87" s="25"/>
      <c r="AA87" s="25">
        <v>2.6400000000000003E-2</v>
      </c>
      <c r="AB87" s="25"/>
      <c r="AC87" s="25">
        <v>2.2000000000000002E-2</v>
      </c>
      <c r="AD87" s="25"/>
      <c r="AE87" s="25">
        <v>3.3000000000000002E-2</v>
      </c>
      <c r="AF87" s="25"/>
      <c r="AG87" s="25">
        <v>2.4199999999999999E-2</v>
      </c>
      <c r="AH87" s="25"/>
      <c r="AI87" s="25">
        <v>2.6400000000000003E-2</v>
      </c>
      <c r="AJ87" s="25"/>
      <c r="AK87" s="25">
        <v>2.0899999999999998E-2</v>
      </c>
      <c r="AL87" s="25"/>
      <c r="AM87" s="25" t="s">
        <v>259</v>
      </c>
      <c r="AN87" s="25" t="s">
        <v>259</v>
      </c>
      <c r="AO87" s="25" t="s">
        <v>259</v>
      </c>
      <c r="AP87" s="25" t="s">
        <v>1250</v>
      </c>
      <c r="AQ87" s="204" t="s">
        <v>259</v>
      </c>
      <c r="AR87" s="25" t="s">
        <v>259</v>
      </c>
      <c r="AS87" s="25" t="s">
        <v>259</v>
      </c>
      <c r="AT87" s="25" t="s">
        <v>259</v>
      </c>
      <c r="AU87" s="25" t="s">
        <v>0</v>
      </c>
      <c r="AV87" s="25" t="s">
        <v>0</v>
      </c>
      <c r="AW87" s="25" t="s">
        <v>0</v>
      </c>
      <c r="AX87" s="25" t="s">
        <v>1760</v>
      </c>
      <c r="AY87" s="25">
        <v>0</v>
      </c>
      <c r="AZ87" s="25">
        <v>0</v>
      </c>
      <c r="BA87" s="25">
        <v>0</v>
      </c>
      <c r="BB87" s="25">
        <v>558.14</v>
      </c>
      <c r="BC87" s="25">
        <v>558.14</v>
      </c>
      <c r="BD87" s="25">
        <v>558.14</v>
      </c>
      <c r="BE87" s="25">
        <v>489.94</v>
      </c>
      <c r="BF87" s="25">
        <v>503.14000000000004</v>
      </c>
      <c r="BG87" s="25">
        <v>558.14</v>
      </c>
      <c r="BH87" s="25">
        <v>833.14</v>
      </c>
      <c r="BI87" s="25">
        <v>503.14000000000004</v>
      </c>
      <c r="BJ87" s="25">
        <f>(10%*$L85)+440</f>
        <v>489.65840000000003</v>
      </c>
      <c r="BK87" s="25">
        <v>503.14000000000004</v>
      </c>
      <c r="BL87" s="25" t="s">
        <v>652</v>
      </c>
      <c r="BM87" s="25" t="s">
        <v>653</v>
      </c>
      <c r="BN87" s="25" t="s">
        <v>654</v>
      </c>
      <c r="BO87" s="25">
        <v>5000</v>
      </c>
      <c r="BP87" s="25">
        <v>300000</v>
      </c>
      <c r="BQ87" s="25" t="s">
        <v>650</v>
      </c>
      <c r="BR87" s="25" t="s">
        <v>655</v>
      </c>
      <c r="BS87" s="25" t="s">
        <v>656</v>
      </c>
      <c r="BT87" s="25" t="s">
        <v>2</v>
      </c>
      <c r="BU87" s="25" t="s">
        <v>652</v>
      </c>
      <c r="BV87" s="25" t="s">
        <v>657</v>
      </c>
      <c r="BW87" s="25" t="s">
        <v>658</v>
      </c>
      <c r="BX87" s="25" t="s">
        <v>659</v>
      </c>
      <c r="BY87" s="25" t="s">
        <v>640</v>
      </c>
      <c r="BZ87" s="25" t="s">
        <v>566</v>
      </c>
      <c r="CA87" s="25" t="s">
        <v>2</v>
      </c>
      <c r="CB87" s="25" t="s">
        <v>2</v>
      </c>
      <c r="CC87" s="25" t="s">
        <v>2</v>
      </c>
      <c r="CD87" s="25" t="s">
        <v>2</v>
      </c>
      <c r="CE87" s="25" t="s">
        <v>2</v>
      </c>
      <c r="CF87" s="25" t="s">
        <v>660</v>
      </c>
      <c r="CG87" s="25" t="s">
        <v>307</v>
      </c>
      <c r="CH87" s="25" t="s">
        <v>661</v>
      </c>
      <c r="CI87" s="205" t="s">
        <v>1771</v>
      </c>
      <c r="CJ87" s="25" t="s">
        <v>1772</v>
      </c>
      <c r="CK87" s="205" t="s">
        <v>1773</v>
      </c>
      <c r="CL87" s="205" t="s">
        <v>1771</v>
      </c>
      <c r="CM87" s="25" t="s">
        <v>2</v>
      </c>
      <c r="CN87" s="25" t="s">
        <v>662</v>
      </c>
      <c r="CO87" s="25" t="s">
        <v>663</v>
      </c>
      <c r="CP87" s="25" t="s">
        <v>664</v>
      </c>
      <c r="CQ87" s="25" t="s">
        <v>665</v>
      </c>
      <c r="CR87" s="25" t="s">
        <v>666</v>
      </c>
      <c r="CS87" s="25" t="s">
        <v>2</v>
      </c>
      <c r="CT87" s="205" t="s">
        <v>1774</v>
      </c>
      <c r="CU87" s="25">
        <v>0</v>
      </c>
      <c r="CV87" s="199">
        <f t="shared" si="17"/>
        <v>417436</v>
      </c>
      <c r="CW87" s="199" t="str">
        <f t="shared" si="15"/>
        <v>Ricoh</v>
      </c>
      <c r="CX87" s="199" t="str">
        <f>IF(Data!D87="E","Entry",IF(Data!D87="L","Low",IF(Data!D87="M","Medium","High")))</f>
        <v>Low</v>
      </c>
      <c r="CY87" s="206" t="str">
        <f t="shared" si="16"/>
        <v>MFD-BW_Ri_L_2Y</v>
      </c>
    </row>
    <row r="88" spans="1:103" ht="20.100000000000001" customHeight="1" x14ac:dyDescent="0.2">
      <c r="A88" s="25" t="s">
        <v>667</v>
      </c>
      <c r="B88" s="25" t="s">
        <v>434</v>
      </c>
      <c r="C88" s="200" t="s">
        <v>8</v>
      </c>
      <c r="D88" s="199" t="s">
        <v>433</v>
      </c>
      <c r="E88" s="199">
        <v>1</v>
      </c>
      <c r="F88" s="203" t="s">
        <v>156</v>
      </c>
      <c r="G88" s="199">
        <v>418846</v>
      </c>
      <c r="H88" s="199" t="s">
        <v>2127</v>
      </c>
      <c r="I88" s="199">
        <v>40</v>
      </c>
      <c r="J88" s="204">
        <v>3200000</v>
      </c>
      <c r="K88" s="204">
        <v>50000</v>
      </c>
      <c r="L88" s="300">
        <v>3409.5600000000004</v>
      </c>
      <c r="M88" s="25">
        <v>5.5000000000000005E-3</v>
      </c>
      <c r="N88" s="25"/>
      <c r="O88" s="25" t="s">
        <v>0</v>
      </c>
      <c r="P88" s="25"/>
      <c r="Q88" s="25" t="s">
        <v>0</v>
      </c>
      <c r="R88" s="25"/>
      <c r="S88" s="25">
        <v>1.1000000000000001E-2</v>
      </c>
      <c r="T88" s="25"/>
      <c r="U88" s="25">
        <v>1.7600000000000001E-2</v>
      </c>
      <c r="V88" s="25"/>
      <c r="W88" s="25">
        <v>1.3090000000000003E-2</v>
      </c>
      <c r="X88" s="25"/>
      <c r="Y88" s="25">
        <v>1.21E-2</v>
      </c>
      <c r="Z88" s="25"/>
      <c r="AA88" s="25">
        <v>2.2000000000000002E-2</v>
      </c>
      <c r="AB88" s="25"/>
      <c r="AC88" s="25">
        <v>1.1000000000000001E-2</v>
      </c>
      <c r="AD88" s="25"/>
      <c r="AE88" s="25">
        <v>1.8700000000000001E-2</v>
      </c>
      <c r="AF88" s="25"/>
      <c r="AG88" s="25">
        <v>2.0900000000000002E-2</v>
      </c>
      <c r="AH88" s="25"/>
      <c r="AI88" s="25">
        <v>1.7600000000000001E-2</v>
      </c>
      <c r="AJ88" s="25"/>
      <c r="AK88" s="25">
        <v>2.0900000000000002E-2</v>
      </c>
      <c r="AL88" s="25"/>
      <c r="AM88" s="25" t="s">
        <v>259</v>
      </c>
      <c r="AN88" s="25" t="s">
        <v>259</v>
      </c>
      <c r="AO88" s="25" t="s">
        <v>259</v>
      </c>
      <c r="AP88" s="25" t="s">
        <v>1250</v>
      </c>
      <c r="AQ88" s="204" t="s">
        <v>259</v>
      </c>
      <c r="AR88" s="25" t="s">
        <v>259</v>
      </c>
      <c r="AS88" s="25" t="s">
        <v>259</v>
      </c>
      <c r="AT88" s="25" t="s">
        <v>259</v>
      </c>
      <c r="AU88" s="25">
        <v>410802</v>
      </c>
      <c r="AV88" s="25" t="s">
        <v>260</v>
      </c>
      <c r="AW88" s="25">
        <v>75.900000000000006</v>
      </c>
      <c r="AX88" s="25" t="s">
        <v>1760</v>
      </c>
      <c r="AY88" s="25">
        <v>0</v>
      </c>
      <c r="AZ88" s="25">
        <v>0</v>
      </c>
      <c r="BA88" s="25">
        <v>0</v>
      </c>
      <c r="BB88" s="25">
        <v>1085.7</v>
      </c>
      <c r="BC88" s="25">
        <v>920.7</v>
      </c>
      <c r="BD88" s="25">
        <v>920.7</v>
      </c>
      <c r="BE88" s="25">
        <v>755.7</v>
      </c>
      <c r="BF88" s="25">
        <v>1635.7</v>
      </c>
      <c r="BG88" s="25">
        <v>920.7</v>
      </c>
      <c r="BH88" s="25">
        <v>1690.7</v>
      </c>
      <c r="BI88" s="25">
        <v>865.7</v>
      </c>
      <c r="BJ88" s="25">
        <f t="shared" ref="BJ88" si="18">(10%*$L86)+605</f>
        <v>874.31960000000004</v>
      </c>
      <c r="BK88" s="25">
        <v>865.7</v>
      </c>
      <c r="BL88" s="25" t="s">
        <v>634</v>
      </c>
      <c r="BM88" s="25" t="s">
        <v>668</v>
      </c>
      <c r="BN88" s="25" t="s">
        <v>529</v>
      </c>
      <c r="BO88" s="25">
        <v>50000</v>
      </c>
      <c r="BP88" s="25">
        <v>3200000</v>
      </c>
      <c r="BQ88" s="25" t="s">
        <v>669</v>
      </c>
      <c r="BR88" s="25" t="s">
        <v>636</v>
      </c>
      <c r="BS88" s="25" t="s">
        <v>136</v>
      </c>
      <c r="BT88" s="25" t="s">
        <v>2</v>
      </c>
      <c r="BU88" s="25" t="s">
        <v>634</v>
      </c>
      <c r="BV88" s="25" t="s">
        <v>637</v>
      </c>
      <c r="BW88" s="25" t="s">
        <v>638</v>
      </c>
      <c r="BX88" s="25" t="s">
        <v>639</v>
      </c>
      <c r="BY88" s="25" t="s">
        <v>640</v>
      </c>
      <c r="BZ88" s="25" t="s">
        <v>641</v>
      </c>
      <c r="CA88" s="25" t="s">
        <v>2</v>
      </c>
      <c r="CB88" s="25" t="s">
        <v>2</v>
      </c>
      <c r="CC88" s="25" t="s">
        <v>2</v>
      </c>
      <c r="CD88" s="25" t="s">
        <v>2</v>
      </c>
      <c r="CE88" s="25" t="s">
        <v>2</v>
      </c>
      <c r="CF88" s="25" t="s">
        <v>670</v>
      </c>
      <c r="CG88" s="25" t="s">
        <v>307</v>
      </c>
      <c r="CH88" s="25" t="s">
        <v>643</v>
      </c>
      <c r="CI88" s="205" t="s">
        <v>1775</v>
      </c>
      <c r="CJ88" s="25" t="s">
        <v>2</v>
      </c>
      <c r="CK88" s="25" t="s">
        <v>312</v>
      </c>
      <c r="CL88" s="205" t="s">
        <v>1775</v>
      </c>
      <c r="CM88" s="25" t="s">
        <v>2</v>
      </c>
      <c r="CN88" s="25" t="s">
        <v>645</v>
      </c>
      <c r="CO88" s="25" t="s">
        <v>671</v>
      </c>
      <c r="CP88" s="25" t="s">
        <v>321</v>
      </c>
      <c r="CQ88" s="25" t="s">
        <v>672</v>
      </c>
      <c r="CR88" s="25" t="s">
        <v>673</v>
      </c>
      <c r="CS88" s="25" t="s">
        <v>3</v>
      </c>
      <c r="CT88" s="25" t="s">
        <v>648</v>
      </c>
      <c r="CU88" s="25">
        <v>0</v>
      </c>
      <c r="CV88" s="199">
        <f t="shared" si="17"/>
        <v>418846</v>
      </c>
      <c r="CW88" s="199" t="str">
        <f t="shared" si="15"/>
        <v>Ricoh</v>
      </c>
      <c r="CX88" s="199" t="str">
        <f>IF(Data!D88="E","Entry",IF(Data!D88="L","Low",IF(Data!D88="M","Medium","High")))</f>
        <v>Medium</v>
      </c>
      <c r="CY88" s="206" t="str">
        <f t="shared" si="16"/>
        <v>MFD-BW_Ri_M_1Y</v>
      </c>
    </row>
    <row r="89" spans="1:103" ht="20.100000000000001" customHeight="1" x14ac:dyDescent="0.2">
      <c r="A89" s="25" t="s">
        <v>674</v>
      </c>
      <c r="B89" s="25" t="s">
        <v>434</v>
      </c>
      <c r="C89" s="200" t="s">
        <v>8</v>
      </c>
      <c r="D89" s="199" t="s">
        <v>433</v>
      </c>
      <c r="E89" s="199">
        <v>2</v>
      </c>
      <c r="F89" s="203" t="s">
        <v>156</v>
      </c>
      <c r="G89" s="199">
        <v>418460</v>
      </c>
      <c r="H89" s="199" t="s">
        <v>2064</v>
      </c>
      <c r="I89" s="199">
        <v>55</v>
      </c>
      <c r="J89" s="204">
        <v>1000000</v>
      </c>
      <c r="K89" s="204">
        <v>16000</v>
      </c>
      <c r="L89" s="300">
        <v>1736.8560000000002</v>
      </c>
      <c r="M89" s="25">
        <v>1.0999999999999999E-2</v>
      </c>
      <c r="N89" s="25"/>
      <c r="O89" s="25" t="s">
        <v>0</v>
      </c>
      <c r="P89" s="25"/>
      <c r="Q89" s="25" t="s">
        <v>0</v>
      </c>
      <c r="R89" s="25"/>
      <c r="S89" s="25">
        <v>2.2000000000000002E-2</v>
      </c>
      <c r="T89" s="25"/>
      <c r="U89" s="25">
        <v>2.4199999999999999E-2</v>
      </c>
      <c r="V89" s="25"/>
      <c r="W89" s="25">
        <v>2.3540000000000002E-2</v>
      </c>
      <c r="X89" s="25"/>
      <c r="Y89" s="25">
        <v>2.1999999999999999E-2</v>
      </c>
      <c r="Z89" s="25"/>
      <c r="AA89" s="25">
        <v>2.4199999999999999E-2</v>
      </c>
      <c r="AB89" s="25"/>
      <c r="AC89" s="25">
        <v>2.2000000000000002E-2</v>
      </c>
      <c r="AD89" s="25"/>
      <c r="AE89" s="25">
        <v>3.3000000000000002E-2</v>
      </c>
      <c r="AF89" s="25"/>
      <c r="AG89" s="25">
        <v>2.4199999999999999E-2</v>
      </c>
      <c r="AH89" s="25"/>
      <c r="AI89" s="25">
        <v>2.4199999999999999E-2</v>
      </c>
      <c r="AJ89" s="25"/>
      <c r="AK89" s="25">
        <v>2.4199999999999999E-2</v>
      </c>
      <c r="AL89" s="25"/>
      <c r="AM89" s="25" t="s">
        <v>259</v>
      </c>
      <c r="AN89" s="25" t="s">
        <v>259</v>
      </c>
      <c r="AO89" s="25" t="s">
        <v>259</v>
      </c>
      <c r="AP89" s="25" t="s">
        <v>1250</v>
      </c>
      <c r="AQ89" s="204" t="s">
        <v>259</v>
      </c>
      <c r="AR89" s="25" t="s">
        <v>259</v>
      </c>
      <c r="AS89" s="25" t="s">
        <v>259</v>
      </c>
      <c r="AT89" s="25" t="s">
        <v>259</v>
      </c>
      <c r="AU89" s="25">
        <v>410802</v>
      </c>
      <c r="AV89" s="25" t="s">
        <v>260</v>
      </c>
      <c r="AW89" s="25">
        <v>75.900000000000006</v>
      </c>
      <c r="AX89" s="25" t="s">
        <v>1760</v>
      </c>
      <c r="AY89" s="25">
        <v>0</v>
      </c>
      <c r="AZ89" s="25">
        <v>0</v>
      </c>
      <c r="BA89" s="25">
        <v>0</v>
      </c>
      <c r="BB89" s="25">
        <v>613.68560000000002</v>
      </c>
      <c r="BC89" s="25">
        <v>613.68560000000002</v>
      </c>
      <c r="BD89" s="25">
        <v>613.68560000000002</v>
      </c>
      <c r="BE89" s="25">
        <v>545.68560000000002</v>
      </c>
      <c r="BF89" s="25">
        <v>558.68560000000002</v>
      </c>
      <c r="BG89" s="25">
        <v>613.68560000000002</v>
      </c>
      <c r="BH89" s="25">
        <v>888.68560000000002</v>
      </c>
      <c r="BI89" s="25">
        <v>558.68560000000002</v>
      </c>
      <c r="BJ89" s="25">
        <v>613.68560000000002</v>
      </c>
      <c r="BK89" s="25">
        <v>558.68560000000002</v>
      </c>
      <c r="BL89" s="25" t="s">
        <v>2128</v>
      </c>
      <c r="BM89" s="25" t="s">
        <v>2129</v>
      </c>
      <c r="BN89" s="25" t="s">
        <v>529</v>
      </c>
      <c r="BO89" s="25">
        <v>5000</v>
      </c>
      <c r="BP89" s="25">
        <v>1000000</v>
      </c>
      <c r="BQ89" s="25" t="s">
        <v>675</v>
      </c>
      <c r="BR89" s="25" t="s">
        <v>636</v>
      </c>
      <c r="BS89" s="25" t="s">
        <v>136</v>
      </c>
      <c r="BT89" s="25" t="s">
        <v>2</v>
      </c>
      <c r="BU89" s="25" t="s">
        <v>2128</v>
      </c>
      <c r="BV89" s="25" t="s">
        <v>2130</v>
      </c>
      <c r="BW89" s="25" t="s">
        <v>2131</v>
      </c>
      <c r="BX89" s="25" t="s">
        <v>2132</v>
      </c>
      <c r="BY89" s="25" t="s">
        <v>640</v>
      </c>
      <c r="BZ89" s="25" t="s">
        <v>2133</v>
      </c>
      <c r="CA89" s="25" t="s">
        <v>2</v>
      </c>
      <c r="CB89" s="25" t="s">
        <v>2</v>
      </c>
      <c r="CC89" s="25" t="s">
        <v>2</v>
      </c>
      <c r="CD89" s="25" t="s">
        <v>3</v>
      </c>
      <c r="CE89" s="25" t="s">
        <v>2</v>
      </c>
      <c r="CF89" s="25" t="s">
        <v>670</v>
      </c>
      <c r="CG89" s="25" t="s">
        <v>307</v>
      </c>
      <c r="CH89" s="25" t="s">
        <v>2134</v>
      </c>
      <c r="CI89" s="205" t="s">
        <v>1775</v>
      </c>
      <c r="CJ89" s="25" t="s">
        <v>2</v>
      </c>
      <c r="CK89" s="25" t="s">
        <v>312</v>
      </c>
      <c r="CL89" s="205" t="s">
        <v>1775</v>
      </c>
      <c r="CM89" s="25" t="s">
        <v>2</v>
      </c>
      <c r="CN89" s="25" t="s">
        <v>645</v>
      </c>
      <c r="CO89" s="25" t="s">
        <v>671</v>
      </c>
      <c r="CP89" s="25" t="s">
        <v>321</v>
      </c>
      <c r="CQ89" s="25" t="s">
        <v>672</v>
      </c>
      <c r="CR89" s="25" t="s">
        <v>673</v>
      </c>
      <c r="CS89" s="25" t="s">
        <v>3</v>
      </c>
      <c r="CT89" s="25" t="s">
        <v>648</v>
      </c>
      <c r="CU89" s="25">
        <v>0</v>
      </c>
      <c r="CV89" s="199">
        <f t="shared" si="17"/>
        <v>418460</v>
      </c>
      <c r="CW89" s="199" t="str">
        <f t="shared" si="15"/>
        <v>Ricoh</v>
      </c>
      <c r="CX89" s="199" t="str">
        <f>IF(Data!D89="E","Entry",IF(Data!D89="L","Low",IF(Data!D89="M","Medium","High")))</f>
        <v>Medium</v>
      </c>
      <c r="CY89" s="206" t="str">
        <f t="shared" si="16"/>
        <v>MFD-BW_Ri_M_2Y</v>
      </c>
    </row>
    <row r="90" spans="1:103" ht="20.100000000000001" customHeight="1" x14ac:dyDescent="0.2">
      <c r="A90" s="25" t="s">
        <v>676</v>
      </c>
      <c r="B90" s="25" t="s">
        <v>434</v>
      </c>
      <c r="C90" s="200" t="s">
        <v>8</v>
      </c>
      <c r="D90" s="199" t="s">
        <v>433</v>
      </c>
      <c r="E90" s="199">
        <v>3</v>
      </c>
      <c r="F90" s="203" t="s">
        <v>156</v>
      </c>
      <c r="G90" s="199">
        <v>418491</v>
      </c>
      <c r="H90" s="199" t="s">
        <v>1827</v>
      </c>
      <c r="I90" s="199">
        <v>40</v>
      </c>
      <c r="J90" s="204">
        <v>600000</v>
      </c>
      <c r="K90" s="204">
        <v>10000</v>
      </c>
      <c r="L90" s="300">
        <v>1610.9280000000001</v>
      </c>
      <c r="M90" s="25">
        <v>1.6500000000000001E-2</v>
      </c>
      <c r="N90" s="25"/>
      <c r="O90" s="25" t="s">
        <v>0</v>
      </c>
      <c r="P90" s="25"/>
      <c r="Q90" s="25" t="s">
        <v>0</v>
      </c>
      <c r="R90" s="25"/>
      <c r="S90" s="25">
        <v>2.2000000000000002E-2</v>
      </c>
      <c r="T90" s="25"/>
      <c r="U90" s="25">
        <v>2.6400000000000003E-2</v>
      </c>
      <c r="V90" s="25"/>
      <c r="W90" s="25">
        <v>2.3540000000000002E-2</v>
      </c>
      <c r="X90" s="25"/>
      <c r="Y90" s="25">
        <v>1.6500000000000001E-2</v>
      </c>
      <c r="Z90" s="25"/>
      <c r="AA90" s="25">
        <v>3.3000000000000002E-2</v>
      </c>
      <c r="AB90" s="25"/>
      <c r="AC90" s="25">
        <v>2.2000000000000002E-2</v>
      </c>
      <c r="AD90" s="25"/>
      <c r="AE90" s="25">
        <v>3.3000000000000002E-2</v>
      </c>
      <c r="AF90" s="25"/>
      <c r="AG90" s="25">
        <v>2.4199999999999999E-2</v>
      </c>
      <c r="AH90" s="25"/>
      <c r="AI90" s="25">
        <v>2.6400000000000003E-2</v>
      </c>
      <c r="AJ90" s="25"/>
      <c r="AK90" s="25">
        <v>2.0899999999999998E-2</v>
      </c>
      <c r="AL90" s="25"/>
      <c r="AM90" s="25" t="s">
        <v>259</v>
      </c>
      <c r="AN90" s="25" t="s">
        <v>259</v>
      </c>
      <c r="AO90" s="25" t="s">
        <v>259</v>
      </c>
      <c r="AP90" s="25" t="s">
        <v>1250</v>
      </c>
      <c r="AQ90" s="204" t="s">
        <v>259</v>
      </c>
      <c r="AR90" s="25" t="s">
        <v>259</v>
      </c>
      <c r="AS90" s="25" t="s">
        <v>259</v>
      </c>
      <c r="AT90" s="25" t="s">
        <v>259</v>
      </c>
      <c r="AU90" s="25" t="s">
        <v>0</v>
      </c>
      <c r="AV90" s="25" t="s">
        <v>0</v>
      </c>
      <c r="AW90" s="25" t="s">
        <v>0</v>
      </c>
      <c r="AX90" s="25" t="s">
        <v>1760</v>
      </c>
      <c r="AY90" s="25">
        <v>0</v>
      </c>
      <c r="AZ90" s="25">
        <v>0</v>
      </c>
      <c r="BA90" s="25">
        <v>0</v>
      </c>
      <c r="BB90" s="25">
        <v>589.16000000000008</v>
      </c>
      <c r="BC90" s="25">
        <v>589.16000000000008</v>
      </c>
      <c r="BD90" s="25">
        <v>589.16000000000008</v>
      </c>
      <c r="BE90" s="25">
        <v>520.96</v>
      </c>
      <c r="BF90" s="25">
        <v>534.16000000000008</v>
      </c>
      <c r="BG90" s="25">
        <v>589.16000000000008</v>
      </c>
      <c r="BH90" s="25">
        <v>864.16000000000008</v>
      </c>
      <c r="BI90" s="25">
        <v>534.16000000000008</v>
      </c>
      <c r="BJ90" s="25">
        <f>(10%*$L88)+440</f>
        <v>780.95600000000013</v>
      </c>
      <c r="BK90" s="25">
        <v>534.16000000000008</v>
      </c>
      <c r="BL90" s="25" t="s">
        <v>677</v>
      </c>
      <c r="BM90" s="25" t="s">
        <v>678</v>
      </c>
      <c r="BN90" s="25" t="s">
        <v>679</v>
      </c>
      <c r="BO90" s="25">
        <v>10000</v>
      </c>
      <c r="BP90" s="25">
        <v>600000</v>
      </c>
      <c r="BQ90" s="25" t="s">
        <v>650</v>
      </c>
      <c r="BR90" s="25" t="s">
        <v>680</v>
      </c>
      <c r="BS90" s="25" t="s">
        <v>136</v>
      </c>
      <c r="BT90" s="25" t="s">
        <v>2</v>
      </c>
      <c r="BU90" s="25" t="s">
        <v>677</v>
      </c>
      <c r="BV90" s="25" t="s">
        <v>681</v>
      </c>
      <c r="BW90" s="25" t="s">
        <v>682</v>
      </c>
      <c r="BX90" s="25" t="s">
        <v>683</v>
      </c>
      <c r="BY90" s="25" t="s">
        <v>640</v>
      </c>
      <c r="BZ90" s="25" t="s">
        <v>566</v>
      </c>
      <c r="CA90" s="25" t="s">
        <v>2</v>
      </c>
      <c r="CB90" s="25" t="s">
        <v>2</v>
      </c>
      <c r="CC90" s="25" t="s">
        <v>2</v>
      </c>
      <c r="CD90" s="25" t="s">
        <v>2</v>
      </c>
      <c r="CE90" s="25" t="s">
        <v>2</v>
      </c>
      <c r="CF90" s="25" t="s">
        <v>684</v>
      </c>
      <c r="CG90" s="25" t="s">
        <v>307</v>
      </c>
      <c r="CH90" s="25" t="s">
        <v>643</v>
      </c>
      <c r="CI90" s="205" t="s">
        <v>1776</v>
      </c>
      <c r="CJ90" s="25" t="s">
        <v>2</v>
      </c>
      <c r="CK90" s="25" t="s">
        <v>312</v>
      </c>
      <c r="CL90" s="205" t="s">
        <v>1776</v>
      </c>
      <c r="CM90" s="25" t="s">
        <v>2</v>
      </c>
      <c r="CN90" s="25" t="s">
        <v>685</v>
      </c>
      <c r="CO90" s="25" t="s">
        <v>686</v>
      </c>
      <c r="CP90" s="25" t="s">
        <v>321</v>
      </c>
      <c r="CQ90" s="25" t="s">
        <v>687</v>
      </c>
      <c r="CR90" s="25" t="s">
        <v>688</v>
      </c>
      <c r="CS90" s="25" t="s">
        <v>2</v>
      </c>
      <c r="CT90" s="25" t="s">
        <v>689</v>
      </c>
      <c r="CU90" s="25">
        <v>0</v>
      </c>
      <c r="CV90" s="199">
        <f t="shared" si="17"/>
        <v>418491</v>
      </c>
      <c r="CW90" s="199" t="str">
        <f t="shared" si="15"/>
        <v>Ricoh</v>
      </c>
      <c r="CX90" s="199" t="str">
        <f>IF(Data!D90="E","Entry",IF(Data!D90="L","Low",IF(Data!D90="M","Medium","High")))</f>
        <v>Medium</v>
      </c>
      <c r="CY90" s="206" t="str">
        <f t="shared" si="16"/>
        <v>MFD-BW_Ri_M_3Y</v>
      </c>
    </row>
    <row r="91" spans="1:103" ht="20.100000000000001" customHeight="1" x14ac:dyDescent="0.2">
      <c r="A91" s="25" t="s">
        <v>690</v>
      </c>
      <c r="B91" s="25" t="s">
        <v>434</v>
      </c>
      <c r="C91" s="200" t="s">
        <v>8</v>
      </c>
      <c r="D91" s="199" t="s">
        <v>432</v>
      </c>
      <c r="E91" s="199">
        <v>1</v>
      </c>
      <c r="F91" s="203" t="s">
        <v>157</v>
      </c>
      <c r="G91" s="199">
        <v>418848</v>
      </c>
      <c r="H91" s="199" t="s">
        <v>2065</v>
      </c>
      <c r="I91" s="199">
        <v>60</v>
      </c>
      <c r="J91" s="204">
        <v>3200000</v>
      </c>
      <c r="K91" s="204">
        <v>50000</v>
      </c>
      <c r="L91" s="300">
        <v>5817.6360000000004</v>
      </c>
      <c r="M91" s="25">
        <v>5.5000000000000005E-3</v>
      </c>
      <c r="N91" s="25"/>
      <c r="O91" s="25" t="s">
        <v>0</v>
      </c>
      <c r="P91" s="25"/>
      <c r="Q91" s="25" t="s">
        <v>0</v>
      </c>
      <c r="R91" s="25"/>
      <c r="S91" s="25">
        <v>1.1000000000000001E-2</v>
      </c>
      <c r="T91" s="25"/>
      <c r="U91" s="25">
        <v>1.7600000000000001E-2</v>
      </c>
      <c r="V91" s="25"/>
      <c r="W91" s="25">
        <v>1.243E-2</v>
      </c>
      <c r="X91" s="25"/>
      <c r="Y91" s="25">
        <v>1.21E-2</v>
      </c>
      <c r="Z91" s="25"/>
      <c r="AA91" s="25">
        <v>1.9800000000000002E-2</v>
      </c>
      <c r="AB91" s="25"/>
      <c r="AC91" s="25">
        <v>1.1000000000000001E-2</v>
      </c>
      <c r="AD91" s="25"/>
      <c r="AE91" s="25">
        <v>1.8700000000000001E-2</v>
      </c>
      <c r="AF91" s="25"/>
      <c r="AG91" s="25">
        <v>2.0900000000000002E-2</v>
      </c>
      <c r="AH91" s="25"/>
      <c r="AI91" s="25">
        <v>1.7600000000000001E-2</v>
      </c>
      <c r="AJ91" s="25"/>
      <c r="AK91" s="25">
        <v>2.0900000000000002E-2</v>
      </c>
      <c r="AL91" s="25"/>
      <c r="AM91" s="25" t="s">
        <v>259</v>
      </c>
      <c r="AN91" s="25" t="s">
        <v>259</v>
      </c>
      <c r="AO91" s="25" t="s">
        <v>259</v>
      </c>
      <c r="AP91" s="25" t="s">
        <v>1250</v>
      </c>
      <c r="AQ91" s="204" t="s">
        <v>259</v>
      </c>
      <c r="AR91" s="25" t="s">
        <v>259</v>
      </c>
      <c r="AS91" s="25" t="s">
        <v>259</v>
      </c>
      <c r="AT91" s="25" t="s">
        <v>259</v>
      </c>
      <c r="AU91" s="25">
        <v>410802</v>
      </c>
      <c r="AV91" s="25" t="s">
        <v>260</v>
      </c>
      <c r="AW91" s="25">
        <v>75.900000000000006</v>
      </c>
      <c r="AX91" s="25" t="s">
        <v>1760</v>
      </c>
      <c r="AY91" s="25">
        <v>0</v>
      </c>
      <c r="AZ91" s="25">
        <v>0</v>
      </c>
      <c r="BA91" s="25">
        <v>0</v>
      </c>
      <c r="BB91" s="25">
        <v>1308.67</v>
      </c>
      <c r="BC91" s="25">
        <v>1143.67</v>
      </c>
      <c r="BD91" s="25">
        <v>1143.67</v>
      </c>
      <c r="BE91" s="25">
        <v>978.67000000000007</v>
      </c>
      <c r="BF91" s="25">
        <v>1968.6700000000003</v>
      </c>
      <c r="BG91" s="25">
        <v>1143.67</v>
      </c>
      <c r="BH91" s="25">
        <v>1913.6700000000003</v>
      </c>
      <c r="BI91" s="25">
        <v>1088.67</v>
      </c>
      <c r="BJ91" s="25">
        <f>(10%*$L89)+605</f>
        <v>778.68560000000002</v>
      </c>
      <c r="BK91" s="25">
        <v>1088.67</v>
      </c>
      <c r="BL91" s="25" t="s">
        <v>634</v>
      </c>
      <c r="BM91" s="25" t="s">
        <v>668</v>
      </c>
      <c r="BN91" s="25" t="s">
        <v>529</v>
      </c>
      <c r="BO91" s="25">
        <v>50000</v>
      </c>
      <c r="BP91" s="25">
        <v>3200000</v>
      </c>
      <c r="BQ91" s="25" t="s">
        <v>650</v>
      </c>
      <c r="BR91" s="25" t="s">
        <v>636</v>
      </c>
      <c r="BS91" s="25" t="s">
        <v>136</v>
      </c>
      <c r="BT91" s="25" t="s">
        <v>2</v>
      </c>
      <c r="BU91" s="25" t="s">
        <v>634</v>
      </c>
      <c r="BV91" s="25" t="s">
        <v>637</v>
      </c>
      <c r="BW91" s="25" t="s">
        <v>638</v>
      </c>
      <c r="BX91" s="25" t="s">
        <v>639</v>
      </c>
      <c r="BY91" s="25" t="s">
        <v>640</v>
      </c>
      <c r="BZ91" s="25" t="s">
        <v>298</v>
      </c>
      <c r="CA91" s="25" t="s">
        <v>2</v>
      </c>
      <c r="CB91" s="25" t="s">
        <v>2</v>
      </c>
      <c r="CC91" s="25" t="s">
        <v>2</v>
      </c>
      <c r="CD91" s="25" t="s">
        <v>2</v>
      </c>
      <c r="CE91" s="25" t="s">
        <v>2</v>
      </c>
      <c r="CF91" s="25" t="s">
        <v>670</v>
      </c>
      <c r="CG91" s="25" t="s">
        <v>307</v>
      </c>
      <c r="CH91" s="25" t="s">
        <v>643</v>
      </c>
      <c r="CI91" s="205" t="s">
        <v>1775</v>
      </c>
      <c r="CJ91" s="25" t="s">
        <v>2</v>
      </c>
      <c r="CK91" s="25" t="s">
        <v>312</v>
      </c>
      <c r="CL91" s="205" t="s">
        <v>1775</v>
      </c>
      <c r="CM91" s="25" t="s">
        <v>2</v>
      </c>
      <c r="CN91" s="25" t="s">
        <v>645</v>
      </c>
      <c r="CO91" s="25" t="s">
        <v>671</v>
      </c>
      <c r="CP91" s="25" t="s">
        <v>321</v>
      </c>
      <c r="CQ91" s="25" t="s">
        <v>672</v>
      </c>
      <c r="CR91" s="25" t="s">
        <v>673</v>
      </c>
      <c r="CS91" s="25" t="s">
        <v>3</v>
      </c>
      <c r="CT91" s="25" t="s">
        <v>648</v>
      </c>
      <c r="CU91" s="25">
        <v>0</v>
      </c>
      <c r="CV91" s="199">
        <f t="shared" si="17"/>
        <v>418848</v>
      </c>
      <c r="CW91" s="199" t="str">
        <f t="shared" si="15"/>
        <v>Ricoh</v>
      </c>
      <c r="CX91" s="199" t="str">
        <f>IF(Data!D91="E","Entry",IF(Data!D91="L","Low",IF(Data!D91="M","Medium","High")))</f>
        <v>High</v>
      </c>
      <c r="CY91" s="206" t="str">
        <f t="shared" si="16"/>
        <v>MFD-BW_Ri_H_1Y</v>
      </c>
    </row>
    <row r="92" spans="1:103" ht="20.100000000000001" customHeight="1" x14ac:dyDescent="0.2">
      <c r="A92" s="26" t="s">
        <v>691</v>
      </c>
      <c r="B92" s="26" t="s">
        <v>434</v>
      </c>
      <c r="C92" s="27" t="s">
        <v>8</v>
      </c>
      <c r="D92" s="186" t="s">
        <v>432</v>
      </c>
      <c r="E92" s="186">
        <v>2</v>
      </c>
      <c r="F92" s="184" t="s">
        <v>157</v>
      </c>
      <c r="G92" s="199">
        <v>418779</v>
      </c>
      <c r="H92" s="199" t="s">
        <v>2029</v>
      </c>
      <c r="I92" s="199">
        <v>70</v>
      </c>
      <c r="J92" s="189">
        <v>9000000</v>
      </c>
      <c r="K92" s="189">
        <v>150000</v>
      </c>
      <c r="L92" s="300">
        <v>7293.1320000000005</v>
      </c>
      <c r="M92" s="26">
        <v>5.5000000000000005E-3</v>
      </c>
      <c r="N92" s="26"/>
      <c r="O92" s="26" t="s">
        <v>0</v>
      </c>
      <c r="P92" s="26"/>
      <c r="Q92" s="26" t="s">
        <v>0</v>
      </c>
      <c r="R92" s="26"/>
      <c r="S92" s="25">
        <v>9.9000000000000008E-3</v>
      </c>
      <c r="T92" s="25"/>
      <c r="U92" s="25">
        <v>1.5400000000000002E-2</v>
      </c>
      <c r="V92" s="25"/>
      <c r="W92" s="25">
        <v>1.3090000000000003E-2</v>
      </c>
      <c r="X92" s="25"/>
      <c r="Y92" s="25">
        <v>8.8000000000000005E-3</v>
      </c>
      <c r="Z92" s="25"/>
      <c r="AA92" s="25">
        <v>1.7600000000000001E-2</v>
      </c>
      <c r="AB92" s="25"/>
      <c r="AC92" s="25">
        <v>1.1000000000000001E-2</v>
      </c>
      <c r="AD92" s="25"/>
      <c r="AE92" s="25">
        <v>1.7600000000000001E-2</v>
      </c>
      <c r="AF92" s="25"/>
      <c r="AG92" s="25">
        <v>2.0900000000000002E-2</v>
      </c>
      <c r="AH92" s="25"/>
      <c r="AI92" s="25">
        <v>1.7600000000000001E-2</v>
      </c>
      <c r="AJ92" s="25"/>
      <c r="AK92" s="25">
        <v>2.0900000000000002E-2</v>
      </c>
      <c r="AL92" s="25"/>
      <c r="AM92" s="25" t="s">
        <v>259</v>
      </c>
      <c r="AN92" s="25" t="s">
        <v>259</v>
      </c>
      <c r="AO92" s="25" t="s">
        <v>259</v>
      </c>
      <c r="AP92" s="25" t="s">
        <v>1250</v>
      </c>
      <c r="AQ92" s="204" t="s">
        <v>259</v>
      </c>
      <c r="AR92" s="25" t="s">
        <v>259</v>
      </c>
      <c r="AS92" s="25" t="s">
        <v>259</v>
      </c>
      <c r="AT92" s="25" t="s">
        <v>259</v>
      </c>
      <c r="AU92" s="25">
        <v>413026</v>
      </c>
      <c r="AV92" s="25" t="s">
        <v>261</v>
      </c>
      <c r="AW92" s="25">
        <v>114.4</v>
      </c>
      <c r="AX92" s="25" t="s">
        <v>1760</v>
      </c>
      <c r="AY92" s="25">
        <v>0</v>
      </c>
      <c r="AZ92" s="25">
        <v>0</v>
      </c>
      <c r="BA92" s="25">
        <v>0</v>
      </c>
      <c r="BB92" s="25">
        <v>1445.2900000000002</v>
      </c>
      <c r="BC92" s="25">
        <v>1445.2900000000002</v>
      </c>
      <c r="BD92" s="25">
        <v>1555.2900000000002</v>
      </c>
      <c r="BE92" s="25">
        <v>1197.7900000000002</v>
      </c>
      <c r="BF92" s="25">
        <v>2435.2900000000004</v>
      </c>
      <c r="BG92" s="25">
        <v>1280.2900000000002</v>
      </c>
      <c r="BH92" s="25">
        <v>2435.2900000000004</v>
      </c>
      <c r="BI92" s="25">
        <v>1500.2900000000002</v>
      </c>
      <c r="BJ92" s="25">
        <v>1500.2900000000002</v>
      </c>
      <c r="BK92" s="25">
        <v>1500.2900000000002</v>
      </c>
      <c r="BL92" s="25" t="s">
        <v>692</v>
      </c>
      <c r="BM92" s="25" t="s">
        <v>693</v>
      </c>
      <c r="BN92" s="25" t="s">
        <v>529</v>
      </c>
      <c r="BO92" s="25">
        <v>150000</v>
      </c>
      <c r="BP92" s="25">
        <v>9000000</v>
      </c>
      <c r="BQ92" s="25" t="s">
        <v>694</v>
      </c>
      <c r="BR92" s="25" t="s">
        <v>636</v>
      </c>
      <c r="BS92" s="25" t="s">
        <v>656</v>
      </c>
      <c r="BT92" s="25" t="s">
        <v>2</v>
      </c>
      <c r="BU92" s="25" t="s">
        <v>692</v>
      </c>
      <c r="BV92" s="25" t="s">
        <v>637</v>
      </c>
      <c r="BW92" s="25" t="s">
        <v>695</v>
      </c>
      <c r="BX92" s="25" t="s">
        <v>696</v>
      </c>
      <c r="BY92" s="25" t="s">
        <v>640</v>
      </c>
      <c r="BZ92" s="25" t="s">
        <v>298</v>
      </c>
      <c r="CA92" s="25" t="s">
        <v>2</v>
      </c>
      <c r="CB92" s="25" t="s">
        <v>2</v>
      </c>
      <c r="CC92" s="25" t="s">
        <v>2</v>
      </c>
      <c r="CD92" s="25" t="s">
        <v>0</v>
      </c>
      <c r="CE92" s="25" t="s">
        <v>2</v>
      </c>
      <c r="CF92" s="25" t="s">
        <v>697</v>
      </c>
      <c r="CG92" s="25" t="s">
        <v>307</v>
      </c>
      <c r="CH92" s="25" t="s">
        <v>698</v>
      </c>
      <c r="CI92" s="205" t="s">
        <v>1777</v>
      </c>
      <c r="CJ92" s="25" t="s">
        <v>2</v>
      </c>
      <c r="CK92" s="25" t="s">
        <v>312</v>
      </c>
      <c r="CL92" s="205" t="s">
        <v>1777</v>
      </c>
      <c r="CM92" s="25" t="s">
        <v>2</v>
      </c>
      <c r="CN92" s="25" t="s">
        <v>699</v>
      </c>
      <c r="CO92" s="25" t="s">
        <v>700</v>
      </c>
      <c r="CP92" s="25" t="s">
        <v>321</v>
      </c>
      <c r="CQ92" s="25" t="s">
        <v>701</v>
      </c>
      <c r="CR92" s="25" t="s">
        <v>702</v>
      </c>
      <c r="CS92" s="25" t="s">
        <v>3</v>
      </c>
      <c r="CT92" s="25" t="s">
        <v>703</v>
      </c>
      <c r="CU92" s="25">
        <v>0</v>
      </c>
      <c r="CV92" s="199">
        <f t="shared" si="17"/>
        <v>418779</v>
      </c>
      <c r="CW92" s="199" t="str">
        <f t="shared" si="15"/>
        <v>Ricoh</v>
      </c>
      <c r="CX92" s="199" t="str">
        <f>IF(Data!D92="E","Entry",IF(Data!D92="L","Low",IF(Data!D92="M","Medium","High")))</f>
        <v>High</v>
      </c>
      <c r="CY92" s="206" t="str">
        <f t="shared" si="16"/>
        <v>MFD-BW_Ri_H_2Y</v>
      </c>
    </row>
    <row r="93" spans="1:103" ht="20.100000000000001" customHeight="1" x14ac:dyDescent="0.2">
      <c r="A93" s="26" t="s">
        <v>704</v>
      </c>
      <c r="B93" s="26" t="s">
        <v>434</v>
      </c>
      <c r="C93" s="27" t="s">
        <v>8</v>
      </c>
      <c r="D93" s="186" t="s">
        <v>432</v>
      </c>
      <c r="E93" s="186">
        <v>3</v>
      </c>
      <c r="F93" s="184" t="s">
        <v>157</v>
      </c>
      <c r="G93" s="199">
        <v>418783</v>
      </c>
      <c r="H93" s="199" t="s">
        <v>2030</v>
      </c>
      <c r="I93" s="186">
        <v>90</v>
      </c>
      <c r="J93" s="189">
        <v>9000000</v>
      </c>
      <c r="K93" s="189">
        <v>150000</v>
      </c>
      <c r="L93" s="300">
        <v>10215.612000000001</v>
      </c>
      <c r="M93" s="26">
        <v>5.5000000000000005E-3</v>
      </c>
      <c r="N93" s="26"/>
      <c r="O93" s="26" t="s">
        <v>0</v>
      </c>
      <c r="P93" s="26"/>
      <c r="Q93" s="26" t="s">
        <v>0</v>
      </c>
      <c r="R93" s="26"/>
      <c r="S93" s="25">
        <v>9.9000000000000008E-3</v>
      </c>
      <c r="T93" s="25"/>
      <c r="U93" s="25">
        <v>1.5400000000000002E-2</v>
      </c>
      <c r="V93" s="25"/>
      <c r="W93" s="25">
        <v>1.243E-2</v>
      </c>
      <c r="X93" s="25"/>
      <c r="Y93" s="25">
        <v>8.8000000000000005E-3</v>
      </c>
      <c r="Z93" s="25"/>
      <c r="AA93" s="25">
        <v>1.7600000000000001E-2</v>
      </c>
      <c r="AB93" s="25"/>
      <c r="AC93" s="25">
        <v>1.21E-2</v>
      </c>
      <c r="AD93" s="25"/>
      <c r="AE93" s="25">
        <v>1.7600000000000001E-2</v>
      </c>
      <c r="AF93" s="25"/>
      <c r="AG93" s="25">
        <v>2.0900000000000002E-2</v>
      </c>
      <c r="AH93" s="25"/>
      <c r="AI93" s="25">
        <v>1.7600000000000001E-2</v>
      </c>
      <c r="AJ93" s="25"/>
      <c r="AK93" s="25">
        <v>2.0900000000000002E-2</v>
      </c>
      <c r="AL93" s="25"/>
      <c r="AM93" s="25" t="s">
        <v>259</v>
      </c>
      <c r="AN93" s="25" t="s">
        <v>259</v>
      </c>
      <c r="AO93" s="25" t="s">
        <v>259</v>
      </c>
      <c r="AP93" s="25" t="s">
        <v>1250</v>
      </c>
      <c r="AQ93" s="204" t="s">
        <v>259</v>
      </c>
      <c r="AR93" s="25" t="s">
        <v>259</v>
      </c>
      <c r="AS93" s="25" t="s">
        <v>259</v>
      </c>
      <c r="AT93" s="25" t="s">
        <v>259</v>
      </c>
      <c r="AU93" s="25">
        <v>413026</v>
      </c>
      <c r="AV93" s="25" t="s">
        <v>261</v>
      </c>
      <c r="AW93" s="25">
        <v>114.4</v>
      </c>
      <c r="AX93" s="25" t="s">
        <v>1760</v>
      </c>
      <c r="AY93" s="25">
        <v>0</v>
      </c>
      <c r="AZ93" s="25">
        <v>0</v>
      </c>
      <c r="BA93" s="25">
        <v>0</v>
      </c>
      <c r="BB93" s="25">
        <v>1715.8900000000003</v>
      </c>
      <c r="BC93" s="25">
        <v>1715.8900000000003</v>
      </c>
      <c r="BD93" s="25">
        <v>1825.8900000000003</v>
      </c>
      <c r="BE93" s="25">
        <v>1468.3900000000003</v>
      </c>
      <c r="BF93" s="25">
        <v>2705.8900000000003</v>
      </c>
      <c r="BG93" s="25">
        <v>1550.8900000000003</v>
      </c>
      <c r="BH93" s="25">
        <v>2705.8900000000003</v>
      </c>
      <c r="BI93" s="25">
        <v>1770.8900000000003</v>
      </c>
      <c r="BJ93" s="25">
        <f>(10%*$L91)+770</f>
        <v>1351.7636000000002</v>
      </c>
      <c r="BK93" s="25">
        <v>1770.8900000000003</v>
      </c>
      <c r="BL93" s="25" t="s">
        <v>692</v>
      </c>
      <c r="BM93" s="25" t="s">
        <v>668</v>
      </c>
      <c r="BN93" s="25" t="s">
        <v>705</v>
      </c>
      <c r="BO93" s="25">
        <v>150000</v>
      </c>
      <c r="BP93" s="25">
        <v>9000000</v>
      </c>
      <c r="BQ93" s="25" t="s">
        <v>706</v>
      </c>
      <c r="BR93" s="25" t="s">
        <v>636</v>
      </c>
      <c r="BS93" s="25" t="s">
        <v>656</v>
      </c>
      <c r="BT93" s="25" t="s">
        <v>2</v>
      </c>
      <c r="BU93" s="25" t="s">
        <v>692</v>
      </c>
      <c r="BV93" s="25" t="s">
        <v>637</v>
      </c>
      <c r="BW93" s="25" t="s">
        <v>695</v>
      </c>
      <c r="BX93" s="25" t="s">
        <v>696</v>
      </c>
      <c r="BY93" s="25" t="s">
        <v>640</v>
      </c>
      <c r="BZ93" s="25" t="s">
        <v>298</v>
      </c>
      <c r="CA93" s="25" t="s">
        <v>2</v>
      </c>
      <c r="CB93" s="25" t="s">
        <v>2</v>
      </c>
      <c r="CC93" s="25" t="s">
        <v>2</v>
      </c>
      <c r="CD93" s="25" t="s">
        <v>0</v>
      </c>
      <c r="CE93" s="25" t="s">
        <v>2</v>
      </c>
      <c r="CF93" s="25" t="s">
        <v>697</v>
      </c>
      <c r="CG93" s="25" t="s">
        <v>307</v>
      </c>
      <c r="CH93" s="25" t="s">
        <v>698</v>
      </c>
      <c r="CI93" s="205" t="s">
        <v>1777</v>
      </c>
      <c r="CJ93" s="25" t="s">
        <v>2</v>
      </c>
      <c r="CK93" s="25" t="s">
        <v>312</v>
      </c>
      <c r="CL93" s="205" t="s">
        <v>1777</v>
      </c>
      <c r="CM93" s="25" t="s">
        <v>2</v>
      </c>
      <c r="CN93" s="25" t="s">
        <v>699</v>
      </c>
      <c r="CO93" s="25" t="s">
        <v>700</v>
      </c>
      <c r="CP93" s="25" t="s">
        <v>321</v>
      </c>
      <c r="CQ93" s="25" t="s">
        <v>701</v>
      </c>
      <c r="CR93" s="25" t="s">
        <v>702</v>
      </c>
      <c r="CS93" s="25" t="s">
        <v>3</v>
      </c>
      <c r="CT93" s="25" t="s">
        <v>703</v>
      </c>
      <c r="CU93" s="25">
        <v>0</v>
      </c>
      <c r="CV93" s="199">
        <f t="shared" si="17"/>
        <v>418783</v>
      </c>
      <c r="CW93" s="199" t="str">
        <f t="shared" si="15"/>
        <v>Ricoh</v>
      </c>
      <c r="CX93" s="199" t="str">
        <f>IF(Data!D93="E","Entry",IF(Data!D93="L","Low",IF(Data!D93="M","Medium","High")))</f>
        <v>High</v>
      </c>
      <c r="CY93" s="206" t="str">
        <f t="shared" si="16"/>
        <v>MFD-BW_Ri_H_3Y</v>
      </c>
    </row>
    <row r="94" spans="1:103" x14ac:dyDescent="0.2">
      <c r="A94" s="26" t="s">
        <v>707</v>
      </c>
      <c r="B94" s="26" t="s">
        <v>436</v>
      </c>
      <c r="C94" s="16" t="s">
        <v>10</v>
      </c>
      <c r="D94" s="186" t="s">
        <v>435</v>
      </c>
      <c r="E94" s="186">
        <v>1</v>
      </c>
      <c r="F94" s="184" t="s">
        <v>437</v>
      </c>
      <c r="G94" s="186">
        <v>0</v>
      </c>
      <c r="H94" s="186" t="s">
        <v>899</v>
      </c>
      <c r="I94" s="186">
        <v>0</v>
      </c>
      <c r="J94" s="189">
        <v>0</v>
      </c>
      <c r="K94" s="189">
        <v>0</v>
      </c>
      <c r="L94" s="26">
        <v>0</v>
      </c>
      <c r="M94" s="26">
        <v>0</v>
      </c>
      <c r="N94" s="26"/>
      <c r="O94" s="26">
        <v>0</v>
      </c>
      <c r="P94" s="26"/>
      <c r="Q94" s="26">
        <v>0</v>
      </c>
      <c r="R94" s="26"/>
      <c r="S94" s="26">
        <v>0</v>
      </c>
      <c r="T94" s="26"/>
      <c r="U94" s="26">
        <v>0</v>
      </c>
      <c r="V94" s="26"/>
      <c r="W94" s="26">
        <v>0</v>
      </c>
      <c r="X94" s="26"/>
      <c r="Y94" s="26">
        <v>0</v>
      </c>
      <c r="Z94" s="26"/>
      <c r="AA94" s="26">
        <v>0</v>
      </c>
      <c r="AB94" s="26"/>
      <c r="AC94" s="26">
        <v>0</v>
      </c>
      <c r="AD94" s="26"/>
      <c r="AE94" s="26">
        <v>0</v>
      </c>
      <c r="AF94" s="26"/>
      <c r="AG94" s="26">
        <v>0</v>
      </c>
      <c r="AH94" s="26"/>
      <c r="AI94" s="26">
        <v>0</v>
      </c>
      <c r="AJ94" s="26"/>
      <c r="AK94" s="26">
        <v>0</v>
      </c>
      <c r="AL94" s="26"/>
      <c r="AM94" s="26">
        <v>0</v>
      </c>
      <c r="AN94" s="26">
        <v>0</v>
      </c>
      <c r="AO94" s="26">
        <v>0</v>
      </c>
      <c r="AP94" s="26" t="s">
        <v>1250</v>
      </c>
      <c r="AQ94" s="189">
        <v>0</v>
      </c>
      <c r="AR94" s="26">
        <v>0</v>
      </c>
      <c r="AS94" s="26">
        <v>0</v>
      </c>
      <c r="AT94" s="26">
        <v>0</v>
      </c>
      <c r="AU94" s="26"/>
      <c r="AV94" s="26"/>
      <c r="AW94" s="26"/>
      <c r="AX94" s="26">
        <v>0</v>
      </c>
      <c r="AY94" s="26">
        <v>0</v>
      </c>
      <c r="AZ94" s="26">
        <v>0</v>
      </c>
      <c r="BA94" s="26">
        <v>0</v>
      </c>
      <c r="BB94" s="26">
        <v>0</v>
      </c>
      <c r="BC94" s="26">
        <v>0</v>
      </c>
      <c r="BD94" s="26">
        <v>0</v>
      </c>
      <c r="BE94" s="26">
        <v>0</v>
      </c>
      <c r="BF94" s="26">
        <v>0</v>
      </c>
      <c r="BG94" s="26">
        <v>0</v>
      </c>
      <c r="BH94" s="26">
        <v>0</v>
      </c>
      <c r="BI94" s="26">
        <v>0</v>
      </c>
      <c r="BJ94" s="26">
        <v>0</v>
      </c>
      <c r="BK94" s="26">
        <v>0</v>
      </c>
      <c r="BL94" s="26">
        <v>0</v>
      </c>
      <c r="BM94" s="26">
        <v>0</v>
      </c>
      <c r="BN94" s="26">
        <v>0</v>
      </c>
      <c r="BO94" s="26">
        <v>0</v>
      </c>
      <c r="BP94" s="26">
        <v>0</v>
      </c>
      <c r="BQ94" s="26">
        <v>0</v>
      </c>
      <c r="BR94" s="26">
        <v>0</v>
      </c>
      <c r="BS94" s="26"/>
      <c r="BT94" s="26">
        <v>0</v>
      </c>
      <c r="BU94" s="26">
        <v>0</v>
      </c>
      <c r="BV94" s="26">
        <v>0</v>
      </c>
      <c r="BW94" s="26">
        <v>0</v>
      </c>
      <c r="BX94" s="26">
        <v>0</v>
      </c>
      <c r="BY94" s="26">
        <v>0</v>
      </c>
      <c r="BZ94" s="26">
        <v>0</v>
      </c>
      <c r="CA94" s="26">
        <v>0</v>
      </c>
      <c r="CB94" s="26">
        <v>0</v>
      </c>
      <c r="CC94" s="26">
        <v>0</v>
      </c>
      <c r="CD94" s="26">
        <v>0</v>
      </c>
      <c r="CE94" s="26">
        <v>0</v>
      </c>
      <c r="CF94" s="26">
        <v>0</v>
      </c>
      <c r="CG94" s="26">
        <v>0</v>
      </c>
      <c r="CH94" s="26">
        <v>0</v>
      </c>
      <c r="CI94" s="26"/>
      <c r="CJ94" s="26">
        <v>0</v>
      </c>
      <c r="CK94" s="26">
        <v>0</v>
      </c>
      <c r="CL94" s="26"/>
      <c r="CM94" s="26"/>
      <c r="CN94" s="26"/>
      <c r="CO94" s="26">
        <v>0</v>
      </c>
      <c r="CP94" s="26">
        <v>0</v>
      </c>
      <c r="CQ94" s="26">
        <v>0</v>
      </c>
      <c r="CR94" s="26">
        <v>0</v>
      </c>
      <c r="CS94" s="26"/>
      <c r="CT94" s="26"/>
      <c r="CU94" s="26">
        <v>0</v>
      </c>
      <c r="CV94" s="186">
        <f t="shared" si="17"/>
        <v>0</v>
      </c>
      <c r="CW94" s="186" t="str">
        <f t="shared" si="15"/>
        <v>Konica Minolta</v>
      </c>
      <c r="CX94" s="186" t="str">
        <f>IF(Data!D94="E","Entry",IF(Data!D94="L","Low",IF(Data!D94="M","Medium","High")))</f>
        <v>Low</v>
      </c>
      <c r="CY94" s="187" t="str">
        <f t="shared" si="16"/>
        <v>SFP-BW_Ko_L_1N</v>
      </c>
    </row>
    <row r="95" spans="1:103" s="36" customFormat="1" ht="12.75" customHeight="1" x14ac:dyDescent="0.2">
      <c r="A95" s="26" t="s">
        <v>708</v>
      </c>
      <c r="B95" s="26" t="s">
        <v>436</v>
      </c>
      <c r="C95" s="16" t="s">
        <v>10</v>
      </c>
      <c r="D95" s="186" t="s">
        <v>435</v>
      </c>
      <c r="E95" s="186">
        <v>2</v>
      </c>
      <c r="F95" s="184" t="s">
        <v>437</v>
      </c>
      <c r="G95" s="186">
        <v>0</v>
      </c>
      <c r="H95" s="27" t="s">
        <v>899</v>
      </c>
      <c r="I95" s="186">
        <v>0</v>
      </c>
      <c r="J95" s="189">
        <v>0</v>
      </c>
      <c r="K95" s="189">
        <v>0</v>
      </c>
      <c r="L95" s="26">
        <v>0</v>
      </c>
      <c r="M95" s="26">
        <v>0</v>
      </c>
      <c r="N95" s="26"/>
      <c r="O95" s="26">
        <v>0</v>
      </c>
      <c r="P95" s="26"/>
      <c r="Q95" s="26">
        <v>0</v>
      </c>
      <c r="R95" s="26"/>
      <c r="S95" s="26">
        <v>0</v>
      </c>
      <c r="T95" s="26"/>
      <c r="U95" s="26">
        <v>0</v>
      </c>
      <c r="V95" s="26"/>
      <c r="W95" s="26">
        <v>0</v>
      </c>
      <c r="X95" s="26"/>
      <c r="Y95" s="26">
        <v>0</v>
      </c>
      <c r="Z95" s="26"/>
      <c r="AA95" s="26">
        <v>0</v>
      </c>
      <c r="AB95" s="26"/>
      <c r="AC95" s="26">
        <v>0</v>
      </c>
      <c r="AD95" s="26"/>
      <c r="AE95" s="26">
        <v>0</v>
      </c>
      <c r="AF95" s="26"/>
      <c r="AG95" s="26">
        <v>0</v>
      </c>
      <c r="AH95" s="26"/>
      <c r="AI95" s="26">
        <v>0</v>
      </c>
      <c r="AJ95" s="26"/>
      <c r="AK95" s="26">
        <v>0</v>
      </c>
      <c r="AL95" s="26"/>
      <c r="AM95" s="26">
        <v>0</v>
      </c>
      <c r="AN95" s="26">
        <v>0</v>
      </c>
      <c r="AO95" s="26">
        <v>0</v>
      </c>
      <c r="AP95" s="26" t="s">
        <v>1250</v>
      </c>
      <c r="AQ95" s="189">
        <v>0</v>
      </c>
      <c r="AR95" s="26">
        <v>0</v>
      </c>
      <c r="AS95" s="26">
        <v>0</v>
      </c>
      <c r="AT95" s="26">
        <v>0</v>
      </c>
      <c r="AU95" s="26"/>
      <c r="AV95" s="26"/>
      <c r="AW95" s="26"/>
      <c r="AX95" s="26">
        <v>0</v>
      </c>
      <c r="AY95" s="26">
        <v>0</v>
      </c>
      <c r="AZ95" s="26">
        <v>0</v>
      </c>
      <c r="BA95" s="26">
        <v>0</v>
      </c>
      <c r="BB95" s="26">
        <v>0</v>
      </c>
      <c r="BC95" s="26">
        <v>0</v>
      </c>
      <c r="BD95" s="26">
        <v>0</v>
      </c>
      <c r="BE95" s="26">
        <v>0</v>
      </c>
      <c r="BF95" s="26">
        <v>0</v>
      </c>
      <c r="BG95" s="26">
        <v>0</v>
      </c>
      <c r="BH95" s="26">
        <v>0</v>
      </c>
      <c r="BI95" s="26">
        <v>0</v>
      </c>
      <c r="BJ95" s="26">
        <v>0</v>
      </c>
      <c r="BK95" s="26">
        <v>0</v>
      </c>
      <c r="BL95" s="26">
        <v>0</v>
      </c>
      <c r="BM95" s="26">
        <v>0</v>
      </c>
      <c r="BN95" s="26">
        <v>0</v>
      </c>
      <c r="BO95" s="26">
        <v>0</v>
      </c>
      <c r="BP95" s="26">
        <v>0</v>
      </c>
      <c r="BQ95" s="26">
        <v>0</v>
      </c>
      <c r="BR95" s="26">
        <v>0</v>
      </c>
      <c r="BS95" s="26"/>
      <c r="BT95" s="26">
        <v>0</v>
      </c>
      <c r="BU95" s="26">
        <v>0</v>
      </c>
      <c r="BV95" s="26">
        <v>0</v>
      </c>
      <c r="BW95" s="26">
        <v>0</v>
      </c>
      <c r="BX95" s="26">
        <v>0</v>
      </c>
      <c r="BY95" s="26">
        <v>0</v>
      </c>
      <c r="BZ95" s="26">
        <v>0</v>
      </c>
      <c r="CA95" s="26">
        <v>0</v>
      </c>
      <c r="CB95" s="26">
        <v>0</v>
      </c>
      <c r="CC95" s="26">
        <v>0</v>
      </c>
      <c r="CD95" s="26">
        <v>0</v>
      </c>
      <c r="CE95" s="26">
        <v>0</v>
      </c>
      <c r="CF95" s="26">
        <v>0</v>
      </c>
      <c r="CG95" s="26">
        <v>0</v>
      </c>
      <c r="CH95" s="26">
        <v>0</v>
      </c>
      <c r="CI95" s="26"/>
      <c r="CJ95" s="26">
        <v>0</v>
      </c>
      <c r="CK95" s="26">
        <v>0</v>
      </c>
      <c r="CL95" s="26"/>
      <c r="CM95" s="26"/>
      <c r="CN95" s="26"/>
      <c r="CO95" s="26">
        <v>0</v>
      </c>
      <c r="CP95" s="26">
        <v>0</v>
      </c>
      <c r="CQ95" s="26">
        <v>0</v>
      </c>
      <c r="CR95" s="26">
        <v>0</v>
      </c>
      <c r="CS95" s="26"/>
      <c r="CT95" s="26"/>
      <c r="CU95" s="26">
        <v>0</v>
      </c>
      <c r="CV95" s="186">
        <f t="shared" si="17"/>
        <v>0</v>
      </c>
      <c r="CW95" s="186" t="str">
        <f t="shared" si="15"/>
        <v>Konica Minolta</v>
      </c>
      <c r="CX95" s="186" t="str">
        <f>IF(Data!D95="E","Entry",IF(Data!D95="L","Low",IF(Data!D95="M","Medium","High")))</f>
        <v>Low</v>
      </c>
      <c r="CY95" s="187" t="str">
        <f t="shared" si="16"/>
        <v>SFP-BW_Ko_L_2N</v>
      </c>
    </row>
    <row r="96" spans="1:103" x14ac:dyDescent="0.2">
      <c r="A96" s="26" t="s">
        <v>709</v>
      </c>
      <c r="B96" s="26" t="s">
        <v>436</v>
      </c>
      <c r="C96" s="16" t="s">
        <v>10</v>
      </c>
      <c r="D96" s="186" t="s">
        <v>433</v>
      </c>
      <c r="E96" s="186">
        <v>1</v>
      </c>
      <c r="F96" s="184" t="s">
        <v>438</v>
      </c>
      <c r="G96" s="186">
        <v>0</v>
      </c>
      <c r="H96" s="186" t="s">
        <v>899</v>
      </c>
      <c r="I96" s="186">
        <v>0</v>
      </c>
      <c r="J96" s="189">
        <v>0</v>
      </c>
      <c r="K96" s="189">
        <v>0</v>
      </c>
      <c r="L96" s="26">
        <v>0</v>
      </c>
      <c r="M96" s="26">
        <v>0</v>
      </c>
      <c r="N96" s="26"/>
      <c r="O96" s="26">
        <v>0</v>
      </c>
      <c r="P96" s="26"/>
      <c r="Q96" s="26">
        <v>0</v>
      </c>
      <c r="R96" s="26"/>
      <c r="S96" s="26">
        <v>0</v>
      </c>
      <c r="T96" s="26"/>
      <c r="U96" s="26">
        <v>0</v>
      </c>
      <c r="V96" s="26"/>
      <c r="W96" s="26">
        <v>0</v>
      </c>
      <c r="X96" s="26"/>
      <c r="Y96" s="26">
        <v>0</v>
      </c>
      <c r="Z96" s="26"/>
      <c r="AA96" s="26">
        <v>0</v>
      </c>
      <c r="AB96" s="26"/>
      <c r="AC96" s="26">
        <v>0</v>
      </c>
      <c r="AD96" s="26"/>
      <c r="AE96" s="26">
        <v>0</v>
      </c>
      <c r="AF96" s="26"/>
      <c r="AG96" s="26">
        <v>0</v>
      </c>
      <c r="AH96" s="26"/>
      <c r="AI96" s="26">
        <v>0</v>
      </c>
      <c r="AJ96" s="26"/>
      <c r="AK96" s="26">
        <v>0</v>
      </c>
      <c r="AL96" s="26"/>
      <c r="AM96" s="26">
        <v>0</v>
      </c>
      <c r="AN96" s="26">
        <v>0</v>
      </c>
      <c r="AO96" s="26">
        <v>0</v>
      </c>
      <c r="AP96" s="26" t="s">
        <v>1250</v>
      </c>
      <c r="AQ96" s="189">
        <v>0</v>
      </c>
      <c r="AR96" s="26">
        <v>0</v>
      </c>
      <c r="AS96" s="26">
        <v>0</v>
      </c>
      <c r="AT96" s="26">
        <v>0</v>
      </c>
      <c r="AU96" s="26"/>
      <c r="AV96" s="26"/>
      <c r="AW96" s="26"/>
      <c r="AX96" s="26">
        <v>0</v>
      </c>
      <c r="AY96" s="26">
        <v>0</v>
      </c>
      <c r="AZ96" s="26">
        <v>0</v>
      </c>
      <c r="BA96" s="26">
        <v>0</v>
      </c>
      <c r="BB96" s="26">
        <v>0</v>
      </c>
      <c r="BC96" s="26">
        <v>0</v>
      </c>
      <c r="BD96" s="26">
        <v>0</v>
      </c>
      <c r="BE96" s="26">
        <v>0</v>
      </c>
      <c r="BF96" s="26">
        <v>0</v>
      </c>
      <c r="BG96" s="26">
        <v>0</v>
      </c>
      <c r="BH96" s="26">
        <v>0</v>
      </c>
      <c r="BI96" s="26">
        <v>0</v>
      </c>
      <c r="BJ96" s="26">
        <v>0</v>
      </c>
      <c r="BK96" s="26">
        <v>0</v>
      </c>
      <c r="BL96" s="26">
        <v>0</v>
      </c>
      <c r="BM96" s="26">
        <v>0</v>
      </c>
      <c r="BN96" s="26">
        <v>0</v>
      </c>
      <c r="BO96" s="26">
        <v>0</v>
      </c>
      <c r="BP96" s="26">
        <v>0</v>
      </c>
      <c r="BQ96" s="26">
        <v>0</v>
      </c>
      <c r="BR96" s="26">
        <v>0</v>
      </c>
      <c r="BS96" s="26"/>
      <c r="BT96" s="26">
        <v>0</v>
      </c>
      <c r="BU96" s="26">
        <v>0</v>
      </c>
      <c r="BV96" s="26">
        <v>0</v>
      </c>
      <c r="BW96" s="26">
        <v>0</v>
      </c>
      <c r="BX96" s="26">
        <v>0</v>
      </c>
      <c r="BY96" s="26">
        <v>0</v>
      </c>
      <c r="BZ96" s="26">
        <v>0</v>
      </c>
      <c r="CA96" s="26">
        <v>0</v>
      </c>
      <c r="CB96" s="26">
        <v>0</v>
      </c>
      <c r="CC96" s="26">
        <v>0</v>
      </c>
      <c r="CD96" s="26">
        <v>0</v>
      </c>
      <c r="CE96" s="26">
        <v>0</v>
      </c>
      <c r="CF96" s="26">
        <v>0</v>
      </c>
      <c r="CG96" s="26">
        <v>0</v>
      </c>
      <c r="CH96" s="26">
        <v>0</v>
      </c>
      <c r="CI96" s="26"/>
      <c r="CJ96" s="26">
        <v>0</v>
      </c>
      <c r="CK96" s="26">
        <v>0</v>
      </c>
      <c r="CL96" s="26"/>
      <c r="CM96" s="26"/>
      <c r="CN96" s="26"/>
      <c r="CO96" s="26">
        <v>0</v>
      </c>
      <c r="CP96" s="26">
        <v>0</v>
      </c>
      <c r="CQ96" s="26">
        <v>0</v>
      </c>
      <c r="CR96" s="26">
        <v>0</v>
      </c>
      <c r="CS96" s="26"/>
      <c r="CT96" s="26"/>
      <c r="CU96" s="26">
        <v>0</v>
      </c>
      <c r="CV96" s="186">
        <f t="shared" si="17"/>
        <v>0</v>
      </c>
      <c r="CW96" s="186" t="str">
        <f t="shared" si="15"/>
        <v>Konica Minolta</v>
      </c>
      <c r="CX96" s="186" t="str">
        <f>IF(Data!D96="E","Entry",IF(Data!D96="L","Low",IF(Data!D96="M","Medium","High")))</f>
        <v>Medium</v>
      </c>
      <c r="CY96" s="187" t="str">
        <f t="shared" si="16"/>
        <v>SFP-BW_Ko_M_1N</v>
      </c>
    </row>
    <row r="97" spans="1:103" s="36" customFormat="1" x14ac:dyDescent="0.2">
      <c r="A97" s="26" t="s">
        <v>724</v>
      </c>
      <c r="B97" s="26" t="s">
        <v>436</v>
      </c>
      <c r="C97" s="16" t="s">
        <v>10</v>
      </c>
      <c r="D97" s="186" t="s">
        <v>433</v>
      </c>
      <c r="E97" s="186">
        <v>2</v>
      </c>
      <c r="F97" s="184" t="s">
        <v>438</v>
      </c>
      <c r="G97" s="186">
        <v>0</v>
      </c>
      <c r="H97" s="27" t="s">
        <v>899</v>
      </c>
      <c r="I97" s="186">
        <v>0</v>
      </c>
      <c r="J97" s="189">
        <v>0</v>
      </c>
      <c r="K97" s="189">
        <v>0</v>
      </c>
      <c r="L97" s="26">
        <v>0</v>
      </c>
      <c r="M97" s="26">
        <v>0</v>
      </c>
      <c r="N97" s="26"/>
      <c r="O97" s="26">
        <v>0</v>
      </c>
      <c r="P97" s="26"/>
      <c r="Q97" s="26">
        <v>0</v>
      </c>
      <c r="R97" s="26"/>
      <c r="S97" s="26">
        <v>0</v>
      </c>
      <c r="T97" s="26"/>
      <c r="U97" s="26">
        <v>0</v>
      </c>
      <c r="V97" s="26"/>
      <c r="W97" s="26">
        <v>0</v>
      </c>
      <c r="X97" s="26"/>
      <c r="Y97" s="26">
        <v>0</v>
      </c>
      <c r="Z97" s="26"/>
      <c r="AA97" s="26">
        <v>0</v>
      </c>
      <c r="AB97" s="26"/>
      <c r="AC97" s="26">
        <v>0</v>
      </c>
      <c r="AD97" s="26"/>
      <c r="AE97" s="26">
        <v>0</v>
      </c>
      <c r="AF97" s="26"/>
      <c r="AG97" s="26">
        <v>0</v>
      </c>
      <c r="AH97" s="26"/>
      <c r="AI97" s="26">
        <v>0</v>
      </c>
      <c r="AJ97" s="26"/>
      <c r="AK97" s="26">
        <v>0</v>
      </c>
      <c r="AL97" s="26"/>
      <c r="AM97" s="26">
        <v>0</v>
      </c>
      <c r="AN97" s="26">
        <v>0</v>
      </c>
      <c r="AO97" s="26">
        <v>0</v>
      </c>
      <c r="AP97" s="26" t="s">
        <v>1250</v>
      </c>
      <c r="AQ97" s="189">
        <v>0</v>
      </c>
      <c r="AR97" s="26">
        <v>0</v>
      </c>
      <c r="AS97" s="26">
        <v>0</v>
      </c>
      <c r="AT97" s="26">
        <v>0</v>
      </c>
      <c r="AU97" s="26"/>
      <c r="AV97" s="26"/>
      <c r="AW97" s="26"/>
      <c r="AX97" s="26">
        <v>0</v>
      </c>
      <c r="AY97" s="26">
        <v>0</v>
      </c>
      <c r="AZ97" s="26">
        <v>0</v>
      </c>
      <c r="BA97" s="26">
        <v>0</v>
      </c>
      <c r="BB97" s="26">
        <v>0</v>
      </c>
      <c r="BC97" s="26">
        <v>0</v>
      </c>
      <c r="BD97" s="26">
        <v>0</v>
      </c>
      <c r="BE97" s="26">
        <v>0</v>
      </c>
      <c r="BF97" s="26">
        <v>0</v>
      </c>
      <c r="BG97" s="26">
        <v>0</v>
      </c>
      <c r="BH97" s="26">
        <v>0</v>
      </c>
      <c r="BI97" s="26">
        <v>0</v>
      </c>
      <c r="BJ97" s="26">
        <v>0</v>
      </c>
      <c r="BK97" s="26">
        <v>0</v>
      </c>
      <c r="BL97" s="26">
        <v>0</v>
      </c>
      <c r="BM97" s="26">
        <v>0</v>
      </c>
      <c r="BN97" s="26">
        <v>0</v>
      </c>
      <c r="BO97" s="26">
        <v>0</v>
      </c>
      <c r="BP97" s="26">
        <v>0</v>
      </c>
      <c r="BQ97" s="26">
        <v>0</v>
      </c>
      <c r="BR97" s="26">
        <v>0</v>
      </c>
      <c r="BS97" s="26"/>
      <c r="BT97" s="26">
        <v>0</v>
      </c>
      <c r="BU97" s="26">
        <v>0</v>
      </c>
      <c r="BV97" s="26">
        <v>0</v>
      </c>
      <c r="BW97" s="26">
        <v>0</v>
      </c>
      <c r="BX97" s="26">
        <v>0</v>
      </c>
      <c r="BY97" s="26">
        <v>0</v>
      </c>
      <c r="BZ97" s="26">
        <v>0</v>
      </c>
      <c r="CA97" s="26">
        <v>0</v>
      </c>
      <c r="CB97" s="26">
        <v>0</v>
      </c>
      <c r="CC97" s="26">
        <v>0</v>
      </c>
      <c r="CD97" s="26">
        <v>0</v>
      </c>
      <c r="CE97" s="26">
        <v>0</v>
      </c>
      <c r="CF97" s="26">
        <v>0</v>
      </c>
      <c r="CG97" s="26">
        <v>0</v>
      </c>
      <c r="CH97" s="26">
        <v>0</v>
      </c>
      <c r="CI97" s="26"/>
      <c r="CJ97" s="26">
        <v>0</v>
      </c>
      <c r="CK97" s="26">
        <v>0</v>
      </c>
      <c r="CL97" s="26"/>
      <c r="CM97" s="26"/>
      <c r="CN97" s="26"/>
      <c r="CO97" s="26">
        <v>0</v>
      </c>
      <c r="CP97" s="26">
        <v>0</v>
      </c>
      <c r="CQ97" s="26">
        <v>0</v>
      </c>
      <c r="CR97" s="26">
        <v>0</v>
      </c>
      <c r="CS97" s="26"/>
      <c r="CT97" s="26"/>
      <c r="CU97" s="26">
        <v>0</v>
      </c>
      <c r="CV97" s="186">
        <f t="shared" si="17"/>
        <v>0</v>
      </c>
      <c r="CW97" s="186" t="str">
        <f t="shared" si="15"/>
        <v>Konica Minolta</v>
      </c>
      <c r="CX97" s="186" t="str">
        <f>IF(Data!D97="E","Entry",IF(Data!D97="L","Low",IF(Data!D97="M","Medium","High")))</f>
        <v>Medium</v>
      </c>
      <c r="CY97" s="187" t="str">
        <f t="shared" si="16"/>
        <v>SFP-BW_Ko_M_2N</v>
      </c>
    </row>
    <row r="98" spans="1:103" x14ac:dyDescent="0.2">
      <c r="A98" s="26" t="s">
        <v>725</v>
      </c>
      <c r="B98" s="26" t="s">
        <v>436</v>
      </c>
      <c r="C98" s="16" t="s">
        <v>10</v>
      </c>
      <c r="D98" s="186" t="s">
        <v>432</v>
      </c>
      <c r="E98" s="186">
        <v>1</v>
      </c>
      <c r="F98" s="186" t="s">
        <v>439</v>
      </c>
      <c r="G98" s="186" t="s">
        <v>1942</v>
      </c>
      <c r="H98" s="186" t="s">
        <v>1943</v>
      </c>
      <c r="I98" s="186">
        <v>50</v>
      </c>
      <c r="J98" s="189">
        <v>600000</v>
      </c>
      <c r="K98" s="189">
        <v>10000</v>
      </c>
      <c r="L98" s="284">
        <f>[1]Sheet1!C20*1.07</f>
        <v>676.77500000000009</v>
      </c>
      <c r="M98" s="26">
        <v>8.8000000000000005E-3</v>
      </c>
      <c r="N98" s="26"/>
      <c r="O98" s="26">
        <v>4.3999999999999997E-2</v>
      </c>
      <c r="P98" s="26"/>
      <c r="Q98" s="26">
        <v>4.3999999999999997E-2</v>
      </c>
      <c r="R98" s="26"/>
      <c r="S98" s="26">
        <v>2.4199999999999999E-2</v>
      </c>
      <c r="T98" s="26"/>
      <c r="U98" s="26">
        <v>1.32E-2</v>
      </c>
      <c r="V98" s="26"/>
      <c r="W98" s="26">
        <v>2.4199999999999999E-2</v>
      </c>
      <c r="X98" s="26"/>
      <c r="Y98" s="26">
        <v>4.3999999999999997E-2</v>
      </c>
      <c r="Z98" s="26"/>
      <c r="AA98" s="26">
        <v>3.9600000000000003E-2</v>
      </c>
      <c r="AB98" s="26"/>
      <c r="AC98" s="26">
        <v>1.32E-2</v>
      </c>
      <c r="AD98" s="26"/>
      <c r="AE98" s="26">
        <v>4.1799999999999997E-2</v>
      </c>
      <c r="AF98" s="26"/>
      <c r="AG98" s="26">
        <v>2.53E-2</v>
      </c>
      <c r="AH98" s="26"/>
      <c r="AI98" s="26">
        <v>4.3999999999999997E-2</v>
      </c>
      <c r="AJ98" s="26"/>
      <c r="AK98" s="26">
        <v>2.53E-2</v>
      </c>
      <c r="AL98" s="26"/>
      <c r="AM98" s="26" t="s">
        <v>726</v>
      </c>
      <c r="AN98" s="26" t="s">
        <v>727</v>
      </c>
      <c r="AO98" s="26">
        <v>265.10000000000002</v>
      </c>
      <c r="AP98" s="26" t="s">
        <v>1250</v>
      </c>
      <c r="AQ98" s="189">
        <v>60000</v>
      </c>
      <c r="AR98" s="26">
        <v>108.9</v>
      </c>
      <c r="AS98" s="26">
        <v>0</v>
      </c>
      <c r="AT98" s="26" t="s">
        <v>0</v>
      </c>
      <c r="AU98" s="26"/>
      <c r="AV98" s="26"/>
      <c r="AW98" s="26"/>
      <c r="AX98" s="26">
        <v>0</v>
      </c>
      <c r="AY98" s="26" t="s">
        <v>0</v>
      </c>
      <c r="AZ98" s="26">
        <v>990</v>
      </c>
      <c r="BA98" s="26">
        <v>990</v>
      </c>
      <c r="BB98" s="26">
        <v>847</v>
      </c>
      <c r="BC98" s="26">
        <v>77</v>
      </c>
      <c r="BD98" s="26">
        <v>891</v>
      </c>
      <c r="BE98" s="26">
        <v>990</v>
      </c>
      <c r="BF98" s="26">
        <v>374</v>
      </c>
      <c r="BG98" s="26">
        <v>462</v>
      </c>
      <c r="BH98" s="26">
        <v>462</v>
      </c>
      <c r="BI98" s="26">
        <v>891</v>
      </c>
      <c r="BJ98" s="26">
        <v>990</v>
      </c>
      <c r="BK98" s="26">
        <v>891</v>
      </c>
      <c r="BL98" s="26" t="s">
        <v>712</v>
      </c>
      <c r="BM98" s="26" t="s">
        <v>713</v>
      </c>
      <c r="BN98" s="26" t="s">
        <v>714</v>
      </c>
      <c r="BO98" s="26">
        <v>8500</v>
      </c>
      <c r="BP98" s="26">
        <v>510000</v>
      </c>
      <c r="BQ98" s="26" t="s">
        <v>728</v>
      </c>
      <c r="BR98" s="26" t="s">
        <v>111</v>
      </c>
      <c r="BS98" s="26"/>
      <c r="BT98" s="26" t="s">
        <v>2</v>
      </c>
      <c r="BU98" s="26" t="s">
        <v>712</v>
      </c>
      <c r="BV98" s="26" t="s">
        <v>495</v>
      </c>
      <c r="BW98" s="26" t="s">
        <v>658</v>
      </c>
      <c r="BX98" s="26" t="s">
        <v>729</v>
      </c>
      <c r="BY98" s="26" t="s">
        <v>121</v>
      </c>
      <c r="BZ98" s="26" t="s">
        <v>717</v>
      </c>
      <c r="CA98" s="26" t="s">
        <v>2</v>
      </c>
      <c r="CB98" s="26" t="s">
        <v>2</v>
      </c>
      <c r="CC98" s="26" t="s">
        <v>2</v>
      </c>
      <c r="CD98" s="26" t="s">
        <v>3</v>
      </c>
      <c r="CE98" s="26" t="s">
        <v>717</v>
      </c>
      <c r="CF98" s="26" t="s">
        <v>730</v>
      </c>
      <c r="CG98" s="26" t="s">
        <v>719</v>
      </c>
      <c r="CH98" s="26" t="s">
        <v>625</v>
      </c>
      <c r="CI98" s="26"/>
      <c r="CJ98" s="26" t="s">
        <v>2</v>
      </c>
      <c r="CK98" s="26" t="s">
        <v>1783</v>
      </c>
      <c r="CL98" s="26"/>
      <c r="CM98" s="26"/>
      <c r="CN98" s="26"/>
      <c r="CO98" s="26" t="s">
        <v>731</v>
      </c>
      <c r="CP98" s="26" t="s">
        <v>721</v>
      </c>
      <c r="CQ98" s="26" t="s">
        <v>722</v>
      </c>
      <c r="CR98" s="26" t="s">
        <v>732</v>
      </c>
      <c r="CS98" s="26"/>
      <c r="CT98" s="26"/>
      <c r="CU98" s="26">
        <v>0</v>
      </c>
      <c r="CV98" s="186" t="str">
        <f t="shared" ref="CV98:CV129" si="19">G98</f>
        <v>ACF1041</v>
      </c>
      <c r="CW98" s="186" t="str">
        <f t="shared" ref="CW98:CW129" si="20">C98</f>
        <v>Konica Minolta</v>
      </c>
      <c r="CX98" s="186" t="str">
        <f>IF(Data!D98="E","Entry",IF(Data!D98="L","Low",IF(Data!D98="M","Medium","High")))</f>
        <v>High</v>
      </c>
      <c r="CY98" s="187" t="str">
        <f t="shared" ref="CY98:CY129" si="21">A98&amp;IF(H98="Not Offered","N","Y")</f>
        <v>SFP-BW_Ko_H_1Y</v>
      </c>
    </row>
    <row r="99" spans="1:103" x14ac:dyDescent="0.2">
      <c r="A99" s="26" t="s">
        <v>733</v>
      </c>
      <c r="B99" s="26" t="s">
        <v>436</v>
      </c>
      <c r="C99" s="16" t="s">
        <v>10</v>
      </c>
      <c r="D99" s="186" t="s">
        <v>432</v>
      </c>
      <c r="E99" s="186">
        <v>2</v>
      </c>
      <c r="F99" s="186" t="s">
        <v>439</v>
      </c>
      <c r="G99" s="186" t="s">
        <v>1828</v>
      </c>
      <c r="H99" s="186" t="s">
        <v>1829</v>
      </c>
      <c r="I99" s="186">
        <v>40</v>
      </c>
      <c r="J99" s="189">
        <v>220000</v>
      </c>
      <c r="K99" s="189">
        <v>3600</v>
      </c>
      <c r="L99" s="284">
        <f>[1]Sheet1!C21*1.07</f>
        <v>400.18</v>
      </c>
      <c r="M99" s="26">
        <v>8.8000000000000005E-3</v>
      </c>
      <c r="N99" s="26"/>
      <c r="O99" s="26">
        <v>4.3999999999999997E-2</v>
      </c>
      <c r="P99" s="26"/>
      <c r="Q99" s="26">
        <v>4.3999999999999997E-2</v>
      </c>
      <c r="R99" s="26"/>
      <c r="S99" s="26">
        <v>2.4199999999999999E-2</v>
      </c>
      <c r="T99" s="26"/>
      <c r="U99" s="26">
        <v>1.32E-2</v>
      </c>
      <c r="V99" s="26"/>
      <c r="W99" s="26">
        <v>2.4199999999999999E-2</v>
      </c>
      <c r="X99" s="26"/>
      <c r="Y99" s="26">
        <v>4.3999999999999997E-2</v>
      </c>
      <c r="Z99" s="26"/>
      <c r="AA99" s="26">
        <v>3.9600000000000003E-2</v>
      </c>
      <c r="AB99" s="26"/>
      <c r="AC99" s="26">
        <v>1.32E-2</v>
      </c>
      <c r="AD99" s="26"/>
      <c r="AE99" s="26">
        <v>4.1799999999999997E-2</v>
      </c>
      <c r="AF99" s="26"/>
      <c r="AG99" s="26">
        <v>2.53E-2</v>
      </c>
      <c r="AH99" s="26"/>
      <c r="AI99" s="26">
        <v>4.3999999999999997E-2</v>
      </c>
      <c r="AJ99" s="26"/>
      <c r="AK99" s="26">
        <v>2.53E-2</v>
      </c>
      <c r="AL99" s="26"/>
      <c r="AM99" s="26" t="s">
        <v>710</v>
      </c>
      <c r="AN99" s="26" t="s">
        <v>711</v>
      </c>
      <c r="AO99" s="26">
        <v>309.10000000000002</v>
      </c>
      <c r="AP99" s="26" t="s">
        <v>1250</v>
      </c>
      <c r="AQ99" s="189">
        <v>60000</v>
      </c>
      <c r="AR99" s="26">
        <v>108.9</v>
      </c>
      <c r="AS99" s="26">
        <v>0</v>
      </c>
      <c r="AT99" s="26" t="s">
        <v>0</v>
      </c>
      <c r="AU99" s="26"/>
      <c r="AV99" s="26"/>
      <c r="AW99" s="26"/>
      <c r="AX99" s="26">
        <v>0</v>
      </c>
      <c r="AY99" s="26" t="s">
        <v>0</v>
      </c>
      <c r="AZ99" s="26">
        <v>880</v>
      </c>
      <c r="BA99" s="26">
        <v>880</v>
      </c>
      <c r="BB99" s="26">
        <v>814</v>
      </c>
      <c r="BC99" s="26">
        <v>44</v>
      </c>
      <c r="BD99" s="26">
        <v>836</v>
      </c>
      <c r="BE99" s="26">
        <v>880</v>
      </c>
      <c r="BF99" s="26">
        <v>374</v>
      </c>
      <c r="BG99" s="26">
        <v>418</v>
      </c>
      <c r="BH99" s="26">
        <v>429</v>
      </c>
      <c r="BI99" s="26">
        <v>836</v>
      </c>
      <c r="BJ99" s="26">
        <v>880</v>
      </c>
      <c r="BK99" s="26">
        <v>836</v>
      </c>
      <c r="BL99" s="26" t="s">
        <v>712</v>
      </c>
      <c r="BM99" s="26" t="s">
        <v>713</v>
      </c>
      <c r="BN99" s="26" t="s">
        <v>714</v>
      </c>
      <c r="BO99" s="26">
        <v>3600</v>
      </c>
      <c r="BP99" s="26">
        <v>220000</v>
      </c>
      <c r="BQ99" s="26" t="s">
        <v>715</v>
      </c>
      <c r="BR99" s="26" t="s">
        <v>111</v>
      </c>
      <c r="BS99" s="26"/>
      <c r="BT99" s="26" t="s">
        <v>2</v>
      </c>
      <c r="BU99" s="26" t="s">
        <v>712</v>
      </c>
      <c r="BV99" s="26" t="s">
        <v>495</v>
      </c>
      <c r="BW99" s="26" t="s">
        <v>658</v>
      </c>
      <c r="BX99" s="26" t="s">
        <v>716</v>
      </c>
      <c r="BY99" s="26" t="s">
        <v>121</v>
      </c>
      <c r="BZ99" s="26" t="s">
        <v>717</v>
      </c>
      <c r="CA99" s="26" t="s">
        <v>2</v>
      </c>
      <c r="CB99" s="26" t="s">
        <v>2</v>
      </c>
      <c r="CC99" s="26" t="s">
        <v>2</v>
      </c>
      <c r="CD99" s="26" t="s">
        <v>3</v>
      </c>
      <c r="CE99" s="26" t="s">
        <v>717</v>
      </c>
      <c r="CF99" s="26" t="s">
        <v>718</v>
      </c>
      <c r="CG99" s="26" t="s">
        <v>719</v>
      </c>
      <c r="CH99" s="26" t="s">
        <v>625</v>
      </c>
      <c r="CI99" s="26"/>
      <c r="CJ99" s="26" t="s">
        <v>3</v>
      </c>
      <c r="CK99" s="26" t="s">
        <v>1783</v>
      </c>
      <c r="CL99" s="26"/>
      <c r="CM99" s="26"/>
      <c r="CN99" s="26"/>
      <c r="CO99" s="26" t="s">
        <v>720</v>
      </c>
      <c r="CP99" s="26" t="s">
        <v>721</v>
      </c>
      <c r="CQ99" s="26" t="s">
        <v>722</v>
      </c>
      <c r="CR99" s="26" t="s">
        <v>723</v>
      </c>
      <c r="CS99" s="26"/>
      <c r="CT99" s="26"/>
      <c r="CU99" s="26">
        <v>0</v>
      </c>
      <c r="CV99" s="186" t="str">
        <f t="shared" si="19"/>
        <v>ACET041</v>
      </c>
      <c r="CW99" s="186" t="str">
        <f t="shared" si="20"/>
        <v>Konica Minolta</v>
      </c>
      <c r="CX99" s="186" t="str">
        <f>IF(Data!D99="E","Entry",IF(Data!D99="L","Low",IF(Data!D99="M","Medium","High")))</f>
        <v>High</v>
      </c>
      <c r="CY99" s="187" t="str">
        <f t="shared" si="21"/>
        <v>SFP-BW_Ko_H_2Y</v>
      </c>
    </row>
    <row r="100" spans="1:103" s="36" customFormat="1" x14ac:dyDescent="0.2">
      <c r="A100" s="26" t="s">
        <v>734</v>
      </c>
      <c r="B100" s="26" t="s">
        <v>436</v>
      </c>
      <c r="C100" s="16" t="s">
        <v>7</v>
      </c>
      <c r="D100" s="186" t="s">
        <v>435</v>
      </c>
      <c r="E100" s="186">
        <v>1</v>
      </c>
      <c r="F100" s="184" t="s">
        <v>437</v>
      </c>
      <c r="G100" s="186">
        <v>0</v>
      </c>
      <c r="H100" s="27" t="s">
        <v>899</v>
      </c>
      <c r="I100" s="186">
        <v>0</v>
      </c>
      <c r="J100" s="189">
        <v>0</v>
      </c>
      <c r="K100" s="189">
        <v>0</v>
      </c>
      <c r="L100" s="26">
        <v>0</v>
      </c>
      <c r="M100" s="26">
        <v>0</v>
      </c>
      <c r="N100" s="26"/>
      <c r="O100" s="26">
        <v>0</v>
      </c>
      <c r="P100" s="26"/>
      <c r="Q100" s="26">
        <v>0</v>
      </c>
      <c r="R100" s="26"/>
      <c r="S100" s="26">
        <v>0</v>
      </c>
      <c r="T100" s="26"/>
      <c r="U100" s="26">
        <v>0</v>
      </c>
      <c r="V100" s="26"/>
      <c r="W100" s="26">
        <v>0</v>
      </c>
      <c r="X100" s="26"/>
      <c r="Y100" s="26">
        <v>0</v>
      </c>
      <c r="Z100" s="26"/>
      <c r="AA100" s="26">
        <v>0</v>
      </c>
      <c r="AB100" s="26"/>
      <c r="AC100" s="26">
        <v>0</v>
      </c>
      <c r="AD100" s="26"/>
      <c r="AE100" s="26">
        <v>0</v>
      </c>
      <c r="AF100" s="26"/>
      <c r="AG100" s="26">
        <v>0</v>
      </c>
      <c r="AH100" s="26"/>
      <c r="AI100" s="26">
        <v>0</v>
      </c>
      <c r="AJ100" s="26"/>
      <c r="AK100" s="26">
        <v>0</v>
      </c>
      <c r="AL100" s="26"/>
      <c r="AM100" s="26">
        <v>0</v>
      </c>
      <c r="AN100" s="26">
        <v>0</v>
      </c>
      <c r="AO100" s="26">
        <v>0</v>
      </c>
      <c r="AP100" s="26" t="s">
        <v>1250</v>
      </c>
      <c r="AQ100" s="189">
        <v>0</v>
      </c>
      <c r="AR100" s="26">
        <v>0</v>
      </c>
      <c r="AS100" s="26">
        <v>0</v>
      </c>
      <c r="AT100" s="26">
        <v>0</v>
      </c>
      <c r="AU100" s="26"/>
      <c r="AV100" s="26"/>
      <c r="AW100" s="26"/>
      <c r="AX100" s="26">
        <v>0</v>
      </c>
      <c r="AY100" s="26">
        <v>0</v>
      </c>
      <c r="AZ100" s="26">
        <v>0</v>
      </c>
      <c r="BA100" s="26">
        <v>0</v>
      </c>
      <c r="BB100" s="26">
        <v>0</v>
      </c>
      <c r="BC100" s="26">
        <v>0</v>
      </c>
      <c r="BD100" s="26">
        <v>0</v>
      </c>
      <c r="BE100" s="26">
        <v>0</v>
      </c>
      <c r="BF100" s="26">
        <v>0</v>
      </c>
      <c r="BG100" s="26">
        <v>0</v>
      </c>
      <c r="BH100" s="26">
        <v>0</v>
      </c>
      <c r="BI100" s="26">
        <v>0</v>
      </c>
      <c r="BJ100" s="26">
        <v>0</v>
      </c>
      <c r="BK100" s="26">
        <v>0</v>
      </c>
      <c r="BL100" s="26">
        <v>0</v>
      </c>
      <c r="BM100" s="26">
        <v>0</v>
      </c>
      <c r="BN100" s="26">
        <v>0</v>
      </c>
      <c r="BO100" s="26">
        <v>0</v>
      </c>
      <c r="BP100" s="26">
        <v>0</v>
      </c>
      <c r="BQ100" s="26">
        <v>0</v>
      </c>
      <c r="BR100" s="26">
        <v>0</v>
      </c>
      <c r="BS100" s="26"/>
      <c r="BT100" s="26">
        <v>0</v>
      </c>
      <c r="BU100" s="26">
        <v>0</v>
      </c>
      <c r="BV100" s="26">
        <v>0</v>
      </c>
      <c r="BW100" s="26">
        <v>0</v>
      </c>
      <c r="BX100" s="26">
        <v>0</v>
      </c>
      <c r="BY100" s="26">
        <v>0</v>
      </c>
      <c r="BZ100" s="26">
        <v>0</v>
      </c>
      <c r="CA100" s="26">
        <v>0</v>
      </c>
      <c r="CB100" s="26">
        <v>0</v>
      </c>
      <c r="CC100" s="26">
        <v>0</v>
      </c>
      <c r="CD100" s="26">
        <v>0</v>
      </c>
      <c r="CE100" s="26">
        <v>0</v>
      </c>
      <c r="CF100" s="26">
        <v>0</v>
      </c>
      <c r="CG100" s="26">
        <v>0</v>
      </c>
      <c r="CH100" s="26">
        <v>0</v>
      </c>
      <c r="CI100" s="26"/>
      <c r="CJ100" s="26">
        <v>0</v>
      </c>
      <c r="CK100" s="26">
        <v>0</v>
      </c>
      <c r="CL100" s="26"/>
      <c r="CM100" s="26"/>
      <c r="CN100" s="26"/>
      <c r="CO100" s="26">
        <v>0</v>
      </c>
      <c r="CP100" s="26">
        <v>0</v>
      </c>
      <c r="CQ100" s="26">
        <v>0</v>
      </c>
      <c r="CR100" s="26">
        <v>0</v>
      </c>
      <c r="CS100" s="26"/>
      <c r="CT100" s="26"/>
      <c r="CU100" s="26">
        <v>0</v>
      </c>
      <c r="CV100" s="186">
        <f t="shared" si="19"/>
        <v>0</v>
      </c>
      <c r="CW100" s="186" t="str">
        <f t="shared" si="20"/>
        <v>Kyocera</v>
      </c>
      <c r="CX100" s="186" t="str">
        <f>IF(Data!D100="E","Entry",IF(Data!D100="L","Low",IF(Data!D100="M","Medium","High")))</f>
        <v>Low</v>
      </c>
      <c r="CY100" s="187" t="str">
        <f t="shared" si="21"/>
        <v>SFP-BW_Ky_L_1N</v>
      </c>
    </row>
    <row r="101" spans="1:103" s="36" customFormat="1" x14ac:dyDescent="0.2">
      <c r="A101" s="26" t="s">
        <v>735</v>
      </c>
      <c r="B101" s="26" t="s">
        <v>436</v>
      </c>
      <c r="C101" s="16" t="s">
        <v>7</v>
      </c>
      <c r="D101" s="186" t="s">
        <v>435</v>
      </c>
      <c r="E101" s="186">
        <v>2</v>
      </c>
      <c r="F101" s="184" t="s">
        <v>437</v>
      </c>
      <c r="G101" s="186">
        <v>0</v>
      </c>
      <c r="H101" s="27" t="s">
        <v>899</v>
      </c>
      <c r="I101" s="186">
        <v>0</v>
      </c>
      <c r="J101" s="189">
        <v>0</v>
      </c>
      <c r="K101" s="189">
        <v>0</v>
      </c>
      <c r="L101" s="26">
        <v>0</v>
      </c>
      <c r="M101" s="26">
        <v>0</v>
      </c>
      <c r="N101" s="26"/>
      <c r="O101" s="26">
        <v>0</v>
      </c>
      <c r="P101" s="26"/>
      <c r="Q101" s="26">
        <v>0</v>
      </c>
      <c r="R101" s="26"/>
      <c r="S101" s="26">
        <v>0</v>
      </c>
      <c r="T101" s="26"/>
      <c r="U101" s="26">
        <v>0</v>
      </c>
      <c r="V101" s="26"/>
      <c r="W101" s="26">
        <v>0</v>
      </c>
      <c r="X101" s="26"/>
      <c r="Y101" s="26">
        <v>0</v>
      </c>
      <c r="Z101" s="26"/>
      <c r="AA101" s="26">
        <v>0</v>
      </c>
      <c r="AB101" s="26"/>
      <c r="AC101" s="26">
        <v>0</v>
      </c>
      <c r="AD101" s="26"/>
      <c r="AE101" s="26">
        <v>0</v>
      </c>
      <c r="AF101" s="26"/>
      <c r="AG101" s="26">
        <v>0</v>
      </c>
      <c r="AH101" s="26"/>
      <c r="AI101" s="26">
        <v>0</v>
      </c>
      <c r="AJ101" s="26"/>
      <c r="AK101" s="26">
        <v>0</v>
      </c>
      <c r="AL101" s="26"/>
      <c r="AM101" s="26">
        <v>0</v>
      </c>
      <c r="AN101" s="26">
        <v>0</v>
      </c>
      <c r="AO101" s="26">
        <v>0</v>
      </c>
      <c r="AP101" s="26" t="s">
        <v>1250</v>
      </c>
      <c r="AQ101" s="189">
        <v>0</v>
      </c>
      <c r="AR101" s="26">
        <v>0</v>
      </c>
      <c r="AS101" s="26">
        <v>0</v>
      </c>
      <c r="AT101" s="26">
        <v>0</v>
      </c>
      <c r="AU101" s="26"/>
      <c r="AV101" s="26"/>
      <c r="AW101" s="26"/>
      <c r="AX101" s="26">
        <v>0</v>
      </c>
      <c r="AY101" s="26">
        <v>0</v>
      </c>
      <c r="AZ101" s="26">
        <v>0</v>
      </c>
      <c r="BA101" s="26">
        <v>0</v>
      </c>
      <c r="BB101" s="26">
        <v>0</v>
      </c>
      <c r="BC101" s="26">
        <v>0</v>
      </c>
      <c r="BD101" s="26">
        <v>0</v>
      </c>
      <c r="BE101" s="26">
        <v>0</v>
      </c>
      <c r="BF101" s="26">
        <v>0</v>
      </c>
      <c r="BG101" s="26">
        <v>0</v>
      </c>
      <c r="BH101" s="26">
        <v>0</v>
      </c>
      <c r="BI101" s="26">
        <v>0</v>
      </c>
      <c r="BJ101" s="26">
        <v>0</v>
      </c>
      <c r="BK101" s="26">
        <v>0</v>
      </c>
      <c r="BL101" s="26">
        <v>0</v>
      </c>
      <c r="BM101" s="26">
        <v>0</v>
      </c>
      <c r="BN101" s="26">
        <v>0</v>
      </c>
      <c r="BO101" s="26">
        <v>0</v>
      </c>
      <c r="BP101" s="26">
        <v>0</v>
      </c>
      <c r="BQ101" s="26">
        <v>0</v>
      </c>
      <c r="BR101" s="26">
        <v>0</v>
      </c>
      <c r="BS101" s="26"/>
      <c r="BT101" s="26">
        <v>0</v>
      </c>
      <c r="BU101" s="26">
        <v>0</v>
      </c>
      <c r="BV101" s="26">
        <v>0</v>
      </c>
      <c r="BW101" s="26">
        <v>0</v>
      </c>
      <c r="BX101" s="26">
        <v>0</v>
      </c>
      <c r="BY101" s="26">
        <v>0</v>
      </c>
      <c r="BZ101" s="26">
        <v>0</v>
      </c>
      <c r="CA101" s="26">
        <v>0</v>
      </c>
      <c r="CB101" s="26">
        <v>0</v>
      </c>
      <c r="CC101" s="26">
        <v>0</v>
      </c>
      <c r="CD101" s="26">
        <v>0</v>
      </c>
      <c r="CE101" s="26">
        <v>0</v>
      </c>
      <c r="CF101" s="26">
        <v>0</v>
      </c>
      <c r="CG101" s="26">
        <v>0</v>
      </c>
      <c r="CH101" s="26">
        <v>0</v>
      </c>
      <c r="CI101" s="26"/>
      <c r="CJ101" s="26">
        <v>0</v>
      </c>
      <c r="CK101" s="26">
        <v>0</v>
      </c>
      <c r="CL101" s="26"/>
      <c r="CM101" s="26"/>
      <c r="CN101" s="26"/>
      <c r="CO101" s="26">
        <v>0</v>
      </c>
      <c r="CP101" s="26">
        <v>0</v>
      </c>
      <c r="CQ101" s="26">
        <v>0</v>
      </c>
      <c r="CR101" s="26">
        <v>0</v>
      </c>
      <c r="CS101" s="26"/>
      <c r="CT101" s="26"/>
      <c r="CU101" s="26">
        <v>0</v>
      </c>
      <c r="CV101" s="186">
        <f t="shared" si="19"/>
        <v>0</v>
      </c>
      <c r="CW101" s="186" t="str">
        <f t="shared" si="20"/>
        <v>Kyocera</v>
      </c>
      <c r="CX101" s="186" t="str">
        <f>IF(Data!D101="E","Entry",IF(Data!D101="L","Low",IF(Data!D101="M","Medium","High")))</f>
        <v>Low</v>
      </c>
      <c r="CY101" s="187" t="str">
        <f t="shared" si="21"/>
        <v>SFP-BW_Ky_L_2N</v>
      </c>
    </row>
    <row r="102" spans="1:103" x14ac:dyDescent="0.2">
      <c r="A102" s="25" t="s">
        <v>736</v>
      </c>
      <c r="B102" s="25" t="s">
        <v>436</v>
      </c>
      <c r="C102" s="238" t="s">
        <v>7</v>
      </c>
      <c r="D102" s="199" t="s">
        <v>433</v>
      </c>
      <c r="E102" s="199">
        <v>1</v>
      </c>
      <c r="F102" s="203" t="s">
        <v>438</v>
      </c>
      <c r="G102" s="238" t="s">
        <v>2435</v>
      </c>
      <c r="H102" s="299" t="s">
        <v>2436</v>
      </c>
      <c r="I102" s="199">
        <v>35</v>
      </c>
      <c r="J102" s="204">
        <v>200000</v>
      </c>
      <c r="K102" s="204">
        <v>7000</v>
      </c>
      <c r="L102" s="25">
        <v>188.1</v>
      </c>
      <c r="M102" s="25">
        <v>3.0800000000000001E-2</v>
      </c>
      <c r="N102" s="25"/>
      <c r="O102" s="25">
        <v>3.0800000000000001E-2</v>
      </c>
      <c r="P102" s="25"/>
      <c r="Q102" s="25">
        <v>8.5000000000000006E-2</v>
      </c>
      <c r="R102" s="25"/>
      <c r="S102" s="25">
        <v>3.85E-2</v>
      </c>
      <c r="T102" s="25"/>
      <c r="U102" s="25">
        <v>4.3999999999999997E-2</v>
      </c>
      <c r="V102" s="25"/>
      <c r="W102" s="25">
        <v>3.85E-2</v>
      </c>
      <c r="X102" s="25"/>
      <c r="Y102" s="25">
        <v>4.3999999999999997E-2</v>
      </c>
      <c r="Z102" s="25"/>
      <c r="AA102" s="25">
        <v>2.86E-2</v>
      </c>
      <c r="AB102" s="25"/>
      <c r="AC102" s="25">
        <v>4.3999999999999997E-2</v>
      </c>
      <c r="AD102" s="25"/>
      <c r="AE102" s="25">
        <v>8.5000000000000006E-2</v>
      </c>
      <c r="AF102" s="25"/>
      <c r="AG102" s="25">
        <v>4.6199999999999998E-2</v>
      </c>
      <c r="AH102" s="25"/>
      <c r="AI102" s="25">
        <v>4.3999999999999997E-2</v>
      </c>
      <c r="AJ102" s="25"/>
      <c r="AK102" s="25">
        <v>4.6199999999999998E-2</v>
      </c>
      <c r="AL102" s="25"/>
      <c r="AM102" s="25" t="s">
        <v>737</v>
      </c>
      <c r="AN102" s="25" t="s">
        <v>738</v>
      </c>
      <c r="AO102" s="25">
        <v>117.81</v>
      </c>
      <c r="AP102" s="25" t="s">
        <v>1250</v>
      </c>
      <c r="AQ102" s="204" t="s">
        <v>237</v>
      </c>
      <c r="AR102" s="25">
        <v>0</v>
      </c>
      <c r="AS102" s="25" t="s">
        <v>739</v>
      </c>
      <c r="AT102" s="25">
        <v>162.69</v>
      </c>
      <c r="AU102" s="25"/>
      <c r="AV102" s="25"/>
      <c r="AW102" s="25"/>
      <c r="AX102" s="25">
        <v>0</v>
      </c>
      <c r="AY102" s="25">
        <v>0</v>
      </c>
      <c r="AZ102" s="25">
        <v>44</v>
      </c>
      <c r="BA102" s="25">
        <v>396</v>
      </c>
      <c r="BB102" s="25">
        <v>44</v>
      </c>
      <c r="BC102" s="25">
        <v>88</v>
      </c>
      <c r="BD102" s="25">
        <v>44</v>
      </c>
      <c r="BE102" s="25">
        <v>66</v>
      </c>
      <c r="BF102" s="25">
        <v>330</v>
      </c>
      <c r="BG102" s="25">
        <v>66</v>
      </c>
      <c r="BH102" s="25">
        <v>396</v>
      </c>
      <c r="BI102" s="25">
        <v>88</v>
      </c>
      <c r="BJ102" s="25">
        <v>88</v>
      </c>
      <c r="BK102" s="25">
        <v>88</v>
      </c>
      <c r="BL102" s="25" t="s">
        <v>247</v>
      </c>
      <c r="BM102" s="25">
        <v>6.8</v>
      </c>
      <c r="BN102" s="25">
        <v>15</v>
      </c>
      <c r="BO102" s="25">
        <v>5000</v>
      </c>
      <c r="BP102" s="25">
        <v>200000</v>
      </c>
      <c r="BQ102" s="25">
        <v>47.9</v>
      </c>
      <c r="BR102" s="25" t="s">
        <v>248</v>
      </c>
      <c r="BS102" s="25"/>
      <c r="BT102" s="25" t="s">
        <v>2</v>
      </c>
      <c r="BU102" s="25" t="s">
        <v>247</v>
      </c>
      <c r="BV102" s="25" t="s">
        <v>740</v>
      </c>
      <c r="BW102" s="25">
        <v>350</v>
      </c>
      <c r="BX102" s="25">
        <v>850</v>
      </c>
      <c r="BY102" s="25">
        <v>100</v>
      </c>
      <c r="BZ102" s="25" t="s">
        <v>0</v>
      </c>
      <c r="CA102" s="25" t="s">
        <v>2</v>
      </c>
      <c r="CB102" s="25" t="s">
        <v>2</v>
      </c>
      <c r="CC102" s="25" t="s">
        <v>2</v>
      </c>
      <c r="CD102" s="25" t="s">
        <v>3</v>
      </c>
      <c r="CE102" s="25" t="s">
        <v>3</v>
      </c>
      <c r="CF102" s="25">
        <v>620</v>
      </c>
      <c r="CG102" s="25">
        <v>24</v>
      </c>
      <c r="CH102" s="25" t="s">
        <v>741</v>
      </c>
      <c r="CI102" s="25"/>
      <c r="CJ102" s="25" t="s">
        <v>2</v>
      </c>
      <c r="CK102" s="25" t="s">
        <v>0</v>
      </c>
      <c r="CL102" s="25"/>
      <c r="CM102" s="25"/>
      <c r="CN102" s="25"/>
      <c r="CO102" s="25" t="s">
        <v>255</v>
      </c>
      <c r="CP102" s="25" t="s">
        <v>742</v>
      </c>
      <c r="CQ102" s="25" t="s">
        <v>257</v>
      </c>
      <c r="CR102" s="25" t="s">
        <v>258</v>
      </c>
      <c r="CS102" s="25"/>
      <c r="CT102" s="25"/>
      <c r="CU102" s="25">
        <v>0</v>
      </c>
      <c r="CV102" s="199" t="str">
        <f t="shared" si="19"/>
        <v>1102RV3AU0</v>
      </c>
      <c r="CW102" s="199" t="str">
        <f t="shared" si="20"/>
        <v>Kyocera</v>
      </c>
      <c r="CX102" s="199" t="str">
        <f>IF(Data!D102="E","Entry",IF(Data!D102="L","Low",IF(Data!D102="M","Medium","High")))</f>
        <v>Medium</v>
      </c>
      <c r="CY102" s="206" t="str">
        <f t="shared" si="21"/>
        <v>SFP-BW_Ky_M_1Y</v>
      </c>
    </row>
    <row r="103" spans="1:103" x14ac:dyDescent="0.2">
      <c r="A103" s="26" t="s">
        <v>743</v>
      </c>
      <c r="B103" s="26" t="s">
        <v>436</v>
      </c>
      <c r="C103" s="16" t="s">
        <v>7</v>
      </c>
      <c r="D103" s="186" t="s">
        <v>433</v>
      </c>
      <c r="E103" s="186">
        <v>2</v>
      </c>
      <c r="F103" s="184" t="s">
        <v>438</v>
      </c>
      <c r="G103" s="186" t="s">
        <v>744</v>
      </c>
      <c r="H103" s="186" t="s">
        <v>745</v>
      </c>
      <c r="I103" s="186">
        <v>35</v>
      </c>
      <c r="J103" s="189">
        <v>200000</v>
      </c>
      <c r="K103" s="189">
        <v>7000</v>
      </c>
      <c r="L103" s="25">
        <v>204.6</v>
      </c>
      <c r="M103" s="26">
        <v>3.0800000000000001E-2</v>
      </c>
      <c r="N103" s="26"/>
      <c r="O103" s="26">
        <v>3.0800000000000001E-2</v>
      </c>
      <c r="P103" s="26"/>
      <c r="Q103" s="26">
        <v>8.5000000000000006E-2</v>
      </c>
      <c r="R103" s="26"/>
      <c r="S103" s="26">
        <v>6.8500000000000005E-2</v>
      </c>
      <c r="T103" s="26"/>
      <c r="U103" s="26">
        <v>4.3999999999999997E-2</v>
      </c>
      <c r="V103" s="26"/>
      <c r="W103" s="26">
        <v>6.8500000000000005E-2</v>
      </c>
      <c r="X103" s="26"/>
      <c r="Y103" s="26">
        <v>4.3999999999999997E-2</v>
      </c>
      <c r="Z103" s="26"/>
      <c r="AA103" s="26">
        <v>2.86E-2</v>
      </c>
      <c r="AB103" s="26"/>
      <c r="AC103" s="26">
        <v>4.3999999999999997E-2</v>
      </c>
      <c r="AD103" s="26"/>
      <c r="AE103" s="26">
        <v>8.5000000000000006E-2</v>
      </c>
      <c r="AF103" s="26"/>
      <c r="AG103" s="26">
        <v>4.6199999999999998E-2</v>
      </c>
      <c r="AH103" s="26"/>
      <c r="AI103" s="26">
        <v>4.3999999999999997E-2</v>
      </c>
      <c r="AJ103" s="26"/>
      <c r="AK103" s="26">
        <v>4.6199999999999998E-2</v>
      </c>
      <c r="AL103" s="26"/>
      <c r="AM103" s="26" t="s">
        <v>737</v>
      </c>
      <c r="AN103" s="26" t="s">
        <v>738</v>
      </c>
      <c r="AO103" s="26">
        <v>117.81</v>
      </c>
      <c r="AP103" s="26" t="s">
        <v>1250</v>
      </c>
      <c r="AQ103" s="189" t="s">
        <v>237</v>
      </c>
      <c r="AR103" s="26">
        <v>0</v>
      </c>
      <c r="AS103" s="26" t="s">
        <v>739</v>
      </c>
      <c r="AT103" s="26">
        <v>162.69</v>
      </c>
      <c r="AU103" s="26"/>
      <c r="AV103" s="26"/>
      <c r="AW103" s="26"/>
      <c r="AX103" s="26">
        <v>0</v>
      </c>
      <c r="AY103" s="26">
        <v>0</v>
      </c>
      <c r="AZ103" s="26">
        <v>44</v>
      </c>
      <c r="BA103" s="26">
        <v>396</v>
      </c>
      <c r="BB103" s="26">
        <v>44</v>
      </c>
      <c r="BC103" s="26">
        <v>88</v>
      </c>
      <c r="BD103" s="26">
        <v>44</v>
      </c>
      <c r="BE103" s="26">
        <v>66</v>
      </c>
      <c r="BF103" s="26">
        <v>330</v>
      </c>
      <c r="BG103" s="26">
        <v>66</v>
      </c>
      <c r="BH103" s="26">
        <v>396</v>
      </c>
      <c r="BI103" s="26">
        <v>88</v>
      </c>
      <c r="BJ103" s="26">
        <v>88</v>
      </c>
      <c r="BK103" s="26">
        <v>88</v>
      </c>
      <c r="BL103" s="26" t="s">
        <v>247</v>
      </c>
      <c r="BM103" s="26">
        <v>6.8</v>
      </c>
      <c r="BN103" s="26">
        <v>15</v>
      </c>
      <c r="BO103" s="26">
        <v>5000</v>
      </c>
      <c r="BP103" s="26">
        <v>200000</v>
      </c>
      <c r="BQ103" s="26">
        <v>47.9</v>
      </c>
      <c r="BR103" s="26" t="s">
        <v>248</v>
      </c>
      <c r="BS103" s="26"/>
      <c r="BT103" s="26" t="s">
        <v>2</v>
      </c>
      <c r="BU103" s="26" t="s">
        <v>247</v>
      </c>
      <c r="BV103" s="26" t="s">
        <v>740</v>
      </c>
      <c r="BW103" s="26">
        <v>350</v>
      </c>
      <c r="BX103" s="26">
        <v>850</v>
      </c>
      <c r="BY103" s="26">
        <v>100</v>
      </c>
      <c r="BZ103" s="26" t="s">
        <v>0</v>
      </c>
      <c r="CA103" s="26" t="s">
        <v>2</v>
      </c>
      <c r="CB103" s="26" t="s">
        <v>2</v>
      </c>
      <c r="CC103" s="26" t="s">
        <v>2</v>
      </c>
      <c r="CD103" s="26" t="s">
        <v>3</v>
      </c>
      <c r="CE103" s="26" t="s">
        <v>3</v>
      </c>
      <c r="CF103" s="26">
        <v>620</v>
      </c>
      <c r="CG103" s="26">
        <v>24</v>
      </c>
      <c r="CH103" s="26" t="s">
        <v>741</v>
      </c>
      <c r="CI103" s="26"/>
      <c r="CJ103" s="26" t="s">
        <v>2</v>
      </c>
      <c r="CK103" s="26" t="s">
        <v>0</v>
      </c>
      <c r="CL103" s="26"/>
      <c r="CM103" s="26"/>
      <c r="CN103" s="26"/>
      <c r="CO103" s="26" t="s">
        <v>746</v>
      </c>
      <c r="CP103" s="26" t="s">
        <v>742</v>
      </c>
      <c r="CQ103" s="26" t="s">
        <v>257</v>
      </c>
      <c r="CR103" s="26" t="s">
        <v>258</v>
      </c>
      <c r="CS103" s="26"/>
      <c r="CT103" s="26"/>
      <c r="CU103" s="26">
        <v>0</v>
      </c>
      <c r="CV103" s="186" t="str">
        <f t="shared" si="19"/>
        <v>1102RW3AS0</v>
      </c>
      <c r="CW103" s="186" t="str">
        <f t="shared" si="20"/>
        <v>Kyocera</v>
      </c>
      <c r="CX103" s="186" t="str">
        <f>IF(Data!D103="E","Entry",IF(Data!D103="L","Low",IF(Data!D103="M","Medium","High")))</f>
        <v>Medium</v>
      </c>
      <c r="CY103" s="187" t="str">
        <f t="shared" si="21"/>
        <v>SFP-BW_Ky_M_2Y</v>
      </c>
    </row>
    <row r="104" spans="1:103" x14ac:dyDescent="0.2">
      <c r="A104" s="26" t="s">
        <v>747</v>
      </c>
      <c r="B104" s="26" t="s">
        <v>436</v>
      </c>
      <c r="C104" s="16" t="s">
        <v>7</v>
      </c>
      <c r="D104" s="186" t="s">
        <v>432</v>
      </c>
      <c r="E104" s="186">
        <v>1</v>
      </c>
      <c r="F104" s="186" t="s">
        <v>439</v>
      </c>
      <c r="G104" s="186" t="s">
        <v>748</v>
      </c>
      <c r="H104" s="186" t="s">
        <v>749</v>
      </c>
      <c r="I104" s="186">
        <v>40</v>
      </c>
      <c r="J104" s="189">
        <v>200000</v>
      </c>
      <c r="K104" s="189">
        <v>12000</v>
      </c>
      <c r="L104" s="25">
        <v>221.1</v>
      </c>
      <c r="M104" s="26">
        <v>1.54E-2</v>
      </c>
      <c r="N104" s="26"/>
      <c r="O104" s="26">
        <v>2.53E-2</v>
      </c>
      <c r="P104" s="26"/>
      <c r="Q104" s="26">
        <v>4.7190000000000003E-2</v>
      </c>
      <c r="R104" s="26"/>
      <c r="S104" s="26">
        <v>2.1999999999999999E-2</v>
      </c>
      <c r="T104" s="26"/>
      <c r="U104" s="26">
        <v>2.1999999999999999E-2</v>
      </c>
      <c r="V104" s="26"/>
      <c r="W104" s="26">
        <v>2.1999999999999999E-2</v>
      </c>
      <c r="X104" s="26"/>
      <c r="Y104" s="26">
        <v>2.1999999999999999E-2</v>
      </c>
      <c r="Z104" s="26"/>
      <c r="AA104" s="26">
        <v>2.64E-2</v>
      </c>
      <c r="AB104" s="26"/>
      <c r="AC104" s="26">
        <v>2.1999999999999999E-2</v>
      </c>
      <c r="AD104" s="26"/>
      <c r="AE104" s="26">
        <v>4.7190000000000003E-2</v>
      </c>
      <c r="AF104" s="26"/>
      <c r="AG104" s="26">
        <v>2.4199999999999999E-2</v>
      </c>
      <c r="AH104" s="26"/>
      <c r="AI104" s="26">
        <v>2.1999999999999999E-2</v>
      </c>
      <c r="AJ104" s="26"/>
      <c r="AK104" s="26">
        <v>2.4199999999999999E-2</v>
      </c>
      <c r="AL104" s="26"/>
      <c r="AM104" s="26" t="s">
        <v>750</v>
      </c>
      <c r="AN104" s="26" t="s">
        <v>751</v>
      </c>
      <c r="AO104" s="26">
        <v>134.63999999999999</v>
      </c>
      <c r="AP104" s="26" t="s">
        <v>1250</v>
      </c>
      <c r="AQ104" s="189" t="s">
        <v>237</v>
      </c>
      <c r="AR104" s="26">
        <v>0</v>
      </c>
      <c r="AS104" s="26" t="s">
        <v>739</v>
      </c>
      <c r="AT104" s="26">
        <v>162.69</v>
      </c>
      <c r="AU104" s="26"/>
      <c r="AV104" s="26"/>
      <c r="AW104" s="26"/>
      <c r="AX104" s="26">
        <v>0</v>
      </c>
      <c r="AY104" s="26">
        <v>0</v>
      </c>
      <c r="AZ104" s="26">
        <v>44</v>
      </c>
      <c r="BA104" s="26">
        <v>396</v>
      </c>
      <c r="BB104" s="26">
        <v>44</v>
      </c>
      <c r="BC104" s="26">
        <v>88</v>
      </c>
      <c r="BD104" s="26">
        <v>44</v>
      </c>
      <c r="BE104" s="26">
        <v>66</v>
      </c>
      <c r="BF104" s="26">
        <v>330</v>
      </c>
      <c r="BG104" s="26">
        <v>66</v>
      </c>
      <c r="BH104" s="26">
        <v>396</v>
      </c>
      <c r="BI104" s="26">
        <v>88</v>
      </c>
      <c r="BJ104" s="26">
        <v>88</v>
      </c>
      <c r="BK104" s="26">
        <v>88</v>
      </c>
      <c r="BL104" s="26" t="s">
        <v>247</v>
      </c>
      <c r="BM104" s="26">
        <v>6.4</v>
      </c>
      <c r="BN104" s="26">
        <v>15</v>
      </c>
      <c r="BO104" s="26">
        <v>10000</v>
      </c>
      <c r="BP104" s="26">
        <v>200000</v>
      </c>
      <c r="BQ104" s="26">
        <v>48.8</v>
      </c>
      <c r="BR104" s="26" t="s">
        <v>248</v>
      </c>
      <c r="BS104" s="26"/>
      <c r="BT104" s="26" t="s">
        <v>2</v>
      </c>
      <c r="BU104" s="26" t="s">
        <v>247</v>
      </c>
      <c r="BV104" s="26" t="s">
        <v>740</v>
      </c>
      <c r="BW104" s="26">
        <v>350</v>
      </c>
      <c r="BX104" s="26">
        <v>850</v>
      </c>
      <c r="BY104" s="26">
        <v>100</v>
      </c>
      <c r="BZ104" s="26" t="s">
        <v>0</v>
      </c>
      <c r="CA104" s="26" t="s">
        <v>2</v>
      </c>
      <c r="CB104" s="26" t="s">
        <v>2</v>
      </c>
      <c r="CC104" s="26" t="s">
        <v>2</v>
      </c>
      <c r="CD104" s="26" t="s">
        <v>3</v>
      </c>
      <c r="CE104" s="26" t="s">
        <v>3</v>
      </c>
      <c r="CF104" s="26">
        <v>620</v>
      </c>
      <c r="CG104" s="26">
        <v>24</v>
      </c>
      <c r="CH104" s="26">
        <v>256</v>
      </c>
      <c r="CI104" s="26"/>
      <c r="CJ104" s="26" t="s">
        <v>2</v>
      </c>
      <c r="CK104" s="26" t="s">
        <v>0</v>
      </c>
      <c r="CL104" s="26"/>
      <c r="CM104" s="26"/>
      <c r="CN104" s="26"/>
      <c r="CO104" s="26" t="s">
        <v>255</v>
      </c>
      <c r="CP104" s="26" t="s">
        <v>742</v>
      </c>
      <c r="CQ104" s="26" t="s">
        <v>257</v>
      </c>
      <c r="CR104" s="26" t="s">
        <v>258</v>
      </c>
      <c r="CS104" s="26"/>
      <c r="CT104" s="26"/>
      <c r="CU104" s="26">
        <v>0</v>
      </c>
      <c r="CV104" s="186" t="str">
        <f t="shared" si="19"/>
        <v>1102RX3ASO</v>
      </c>
      <c r="CW104" s="186" t="str">
        <f t="shared" si="20"/>
        <v>Kyocera</v>
      </c>
      <c r="CX104" s="186" t="str">
        <f>IF(Data!D104="E","Entry",IF(Data!D104="L","Low",IF(Data!D104="M","Medium","High")))</f>
        <v>High</v>
      </c>
      <c r="CY104" s="187" t="str">
        <f t="shared" si="21"/>
        <v>SFP-BW_Ky_H_1Y</v>
      </c>
    </row>
    <row r="105" spans="1:103" ht="89.25" x14ac:dyDescent="0.2">
      <c r="A105" s="25" t="s">
        <v>752</v>
      </c>
      <c r="B105" s="25" t="s">
        <v>436</v>
      </c>
      <c r="C105" s="238" t="s">
        <v>7</v>
      </c>
      <c r="D105" s="199" t="s">
        <v>432</v>
      </c>
      <c r="E105" s="199">
        <v>2</v>
      </c>
      <c r="F105" s="199" t="s">
        <v>439</v>
      </c>
      <c r="G105" s="200" t="s">
        <v>2143</v>
      </c>
      <c r="H105" s="200" t="s">
        <v>2144</v>
      </c>
      <c r="I105" s="199">
        <v>45</v>
      </c>
      <c r="J105" s="204">
        <v>900000</v>
      </c>
      <c r="K105" s="204">
        <v>15000</v>
      </c>
      <c r="L105" s="301">
        <v>653.4</v>
      </c>
      <c r="M105" s="302">
        <v>1.0999999999999999E-2</v>
      </c>
      <c r="N105" s="302"/>
      <c r="O105" s="302">
        <v>1.8700000000000001E-2</v>
      </c>
      <c r="P105" s="302"/>
      <c r="Q105" s="302">
        <v>3.85E-2</v>
      </c>
      <c r="R105" s="302"/>
      <c r="S105" s="302">
        <v>1.7600000000000001E-2</v>
      </c>
      <c r="T105" s="302"/>
      <c r="U105" s="302">
        <v>1.7600000000000001E-2</v>
      </c>
      <c r="V105" s="302"/>
      <c r="W105" s="302">
        <v>1.7600000000000001E-2</v>
      </c>
      <c r="X105" s="302"/>
      <c r="Y105" s="302">
        <v>1.7600000000000001E-2</v>
      </c>
      <c r="Z105" s="302"/>
      <c r="AA105" s="302">
        <v>2.86E-2</v>
      </c>
      <c r="AB105" s="302"/>
      <c r="AC105" s="302">
        <v>1.7600000000000001E-2</v>
      </c>
      <c r="AD105" s="302"/>
      <c r="AE105" s="302">
        <v>3.85E-2</v>
      </c>
      <c r="AF105" s="302"/>
      <c r="AG105" s="302">
        <v>1.8700000000000001E-2</v>
      </c>
      <c r="AH105" s="302"/>
      <c r="AI105" s="302">
        <v>1.7600000000000001E-2</v>
      </c>
      <c r="AJ105" s="302"/>
      <c r="AK105" s="302">
        <v>1.8700000000000001E-2</v>
      </c>
      <c r="AL105" s="302"/>
      <c r="AM105" s="25" t="s">
        <v>753</v>
      </c>
      <c r="AN105" s="25" t="s">
        <v>754</v>
      </c>
      <c r="AO105" s="25">
        <v>174.85</v>
      </c>
      <c r="AP105" s="25" t="s">
        <v>2145</v>
      </c>
      <c r="AQ105" s="204" t="s">
        <v>237</v>
      </c>
      <c r="AR105" s="25" t="s">
        <v>2146</v>
      </c>
      <c r="AS105" s="25" t="s">
        <v>755</v>
      </c>
      <c r="AT105" s="301">
        <v>279.57</v>
      </c>
      <c r="AU105" s="25"/>
      <c r="AV105" s="25"/>
      <c r="AW105" s="25"/>
      <c r="AX105" s="301">
        <v>0</v>
      </c>
      <c r="AY105" s="303">
        <v>0</v>
      </c>
      <c r="AZ105" s="301">
        <v>88</v>
      </c>
      <c r="BA105" s="301">
        <v>396</v>
      </c>
      <c r="BB105" s="301">
        <v>88</v>
      </c>
      <c r="BC105" s="301">
        <v>132</v>
      </c>
      <c r="BD105" s="301">
        <v>88</v>
      </c>
      <c r="BE105" s="301">
        <v>110</v>
      </c>
      <c r="BF105" s="301">
        <v>330</v>
      </c>
      <c r="BG105" s="301">
        <v>110</v>
      </c>
      <c r="BH105" s="301">
        <v>396</v>
      </c>
      <c r="BI105" s="301">
        <v>88</v>
      </c>
      <c r="BJ105" s="301">
        <v>132</v>
      </c>
      <c r="BK105" s="301">
        <v>88</v>
      </c>
      <c r="BL105" s="25" t="s">
        <v>247</v>
      </c>
      <c r="BM105" s="25">
        <v>5.3</v>
      </c>
      <c r="BN105" s="25">
        <v>15</v>
      </c>
      <c r="BO105" s="25">
        <v>15000</v>
      </c>
      <c r="BP105" s="25">
        <v>900000</v>
      </c>
      <c r="BQ105" s="25">
        <v>54</v>
      </c>
      <c r="BR105" s="25">
        <v>605.5</v>
      </c>
      <c r="BS105" s="25">
        <v>24</v>
      </c>
      <c r="BT105" s="25">
        <v>512</v>
      </c>
      <c r="BU105" s="25"/>
      <c r="BV105" s="25" t="s">
        <v>2</v>
      </c>
      <c r="BW105" s="25" t="s">
        <v>0</v>
      </c>
      <c r="BX105" s="25"/>
      <c r="BY105" s="25"/>
      <c r="BZ105" s="25"/>
      <c r="CA105" s="205" t="s">
        <v>255</v>
      </c>
      <c r="CB105" s="25" t="s">
        <v>742</v>
      </c>
      <c r="CC105" s="25" t="s">
        <v>257</v>
      </c>
      <c r="CD105" s="25" t="s">
        <v>258</v>
      </c>
      <c r="CE105" s="25"/>
      <c r="CF105" s="25"/>
      <c r="CG105" s="25">
        <v>24</v>
      </c>
      <c r="CH105" s="25">
        <v>512</v>
      </c>
      <c r="CI105" s="25"/>
      <c r="CJ105" s="25" t="s">
        <v>2</v>
      </c>
      <c r="CK105" s="25" t="s">
        <v>0</v>
      </c>
      <c r="CL105" s="25"/>
      <c r="CM105" s="25"/>
      <c r="CN105" s="25"/>
      <c r="CO105" s="25" t="s">
        <v>255</v>
      </c>
      <c r="CP105" s="25" t="s">
        <v>742</v>
      </c>
      <c r="CQ105" s="25" t="s">
        <v>257</v>
      </c>
      <c r="CR105" s="25" t="s">
        <v>258</v>
      </c>
      <c r="CS105" s="25"/>
      <c r="CT105" s="25"/>
      <c r="CU105" s="25">
        <v>0</v>
      </c>
      <c r="CV105" s="199" t="str">
        <f t="shared" si="19"/>
        <v>110C0Y3AU0</v>
      </c>
      <c r="CW105" s="199" t="str">
        <f t="shared" si="20"/>
        <v>Kyocera</v>
      </c>
      <c r="CX105" s="199" t="str">
        <f>IF(Data!D105="E","Entry",IF(Data!D105="L","Low",IF(Data!D105="M","Medium","High")))</f>
        <v>High</v>
      </c>
      <c r="CY105" s="206" t="str">
        <f t="shared" si="21"/>
        <v>SFP-BW_Ky_H_2Y</v>
      </c>
    </row>
    <row r="106" spans="1:103" x14ac:dyDescent="0.2">
      <c r="A106" s="25" t="s">
        <v>756</v>
      </c>
      <c r="B106" s="25" t="s">
        <v>436</v>
      </c>
      <c r="C106" s="238" t="s">
        <v>8</v>
      </c>
      <c r="D106" s="199" t="s">
        <v>435</v>
      </c>
      <c r="E106" s="199">
        <v>1</v>
      </c>
      <c r="F106" s="203" t="s">
        <v>437</v>
      </c>
      <c r="G106" s="199">
        <v>408525</v>
      </c>
      <c r="H106" s="200" t="s">
        <v>2135</v>
      </c>
      <c r="I106" s="199">
        <v>30</v>
      </c>
      <c r="J106" s="204">
        <v>350000</v>
      </c>
      <c r="K106" s="204">
        <v>35000</v>
      </c>
      <c r="L106" s="300">
        <v>364.71600000000001</v>
      </c>
      <c r="M106" s="25">
        <v>2.0900000000000002E-2</v>
      </c>
      <c r="N106" s="25">
        <v>2.0899999999999998E-2</v>
      </c>
      <c r="O106" s="25" t="s">
        <v>0</v>
      </c>
      <c r="P106" s="25"/>
      <c r="Q106" s="25" t="s">
        <v>0</v>
      </c>
      <c r="R106" s="25"/>
      <c r="S106" s="25">
        <v>4.3999999999999997E-2</v>
      </c>
      <c r="T106" s="25"/>
      <c r="U106" s="25">
        <v>5.5E-2</v>
      </c>
      <c r="V106" s="25"/>
      <c r="W106" s="25">
        <v>4.1599999999999998E-2</v>
      </c>
      <c r="X106" s="25"/>
      <c r="Y106" s="25">
        <v>2.75E-2</v>
      </c>
      <c r="Z106" s="25"/>
      <c r="AA106" s="25">
        <v>3.9600000000000003E-2</v>
      </c>
      <c r="AB106" s="25"/>
      <c r="AC106" s="25">
        <v>4.3999999999999997E-2</v>
      </c>
      <c r="AD106" s="25"/>
      <c r="AE106" s="25">
        <v>3.78E-2</v>
      </c>
      <c r="AF106" s="25"/>
      <c r="AG106" s="25">
        <v>4.9500000000000002E-2</v>
      </c>
      <c r="AH106" s="25"/>
      <c r="AI106" s="25">
        <v>5.5E-2</v>
      </c>
      <c r="AJ106" s="25"/>
      <c r="AK106" s="25">
        <v>4.9500000000000002E-2</v>
      </c>
      <c r="AL106" s="25"/>
      <c r="AM106" s="25">
        <v>0</v>
      </c>
      <c r="AN106" s="25">
        <v>0</v>
      </c>
      <c r="AO106" s="25">
        <v>0</v>
      </c>
      <c r="AP106" s="25" t="s">
        <v>1250</v>
      </c>
      <c r="AQ106" s="204">
        <v>0</v>
      </c>
      <c r="AR106" s="25">
        <v>0</v>
      </c>
      <c r="AS106" s="25">
        <v>0</v>
      </c>
      <c r="AT106" s="25">
        <v>0</v>
      </c>
      <c r="AU106" s="25"/>
      <c r="AV106" s="25"/>
      <c r="AW106" s="25"/>
      <c r="AX106" s="25">
        <v>0</v>
      </c>
      <c r="AY106" s="25">
        <v>0</v>
      </c>
      <c r="AZ106" s="25">
        <v>0</v>
      </c>
      <c r="BA106" s="25">
        <v>0</v>
      </c>
      <c r="BB106" s="25" t="s">
        <v>2117</v>
      </c>
      <c r="BC106" s="25" t="s">
        <v>2136</v>
      </c>
      <c r="BD106" s="25" t="s">
        <v>2117</v>
      </c>
      <c r="BE106" s="25" t="s">
        <v>2118</v>
      </c>
      <c r="BF106" s="25" t="s">
        <v>2117</v>
      </c>
      <c r="BG106" s="25" t="s">
        <v>2117</v>
      </c>
      <c r="BH106" s="25" t="s">
        <v>2119</v>
      </c>
      <c r="BI106" s="25" t="s">
        <v>2120</v>
      </c>
      <c r="BJ106" s="25" t="s">
        <v>2117</v>
      </c>
      <c r="BK106" s="25" t="s">
        <v>2119</v>
      </c>
      <c r="BL106" s="25">
        <v>0</v>
      </c>
      <c r="BM106" s="25" t="s">
        <v>2137</v>
      </c>
      <c r="BN106" s="25">
        <v>0</v>
      </c>
      <c r="BO106" s="25">
        <v>700</v>
      </c>
      <c r="BP106" s="25">
        <v>350000</v>
      </c>
      <c r="BQ106" s="25">
        <v>0</v>
      </c>
      <c r="BR106" s="25">
        <v>0</v>
      </c>
      <c r="BS106" s="25"/>
      <c r="BT106" s="25">
        <v>0</v>
      </c>
      <c r="BU106" s="25" t="s">
        <v>2138</v>
      </c>
      <c r="BV106" s="25" t="s">
        <v>2139</v>
      </c>
      <c r="BW106" s="25">
        <v>300</v>
      </c>
      <c r="BX106" s="25">
        <v>550</v>
      </c>
      <c r="BY106" s="25">
        <v>50</v>
      </c>
      <c r="BZ106" s="25" t="s">
        <v>0</v>
      </c>
      <c r="CA106" s="25" t="s">
        <v>2</v>
      </c>
      <c r="CB106" s="25" t="s">
        <v>2</v>
      </c>
      <c r="CC106" s="25" t="s">
        <v>2</v>
      </c>
      <c r="CD106" s="25" t="s">
        <v>3</v>
      </c>
      <c r="CE106" s="25" t="s">
        <v>3</v>
      </c>
      <c r="CF106" s="25">
        <v>0</v>
      </c>
      <c r="CG106" s="25" t="s">
        <v>307</v>
      </c>
      <c r="CH106" s="25" t="s">
        <v>2140</v>
      </c>
      <c r="CI106" s="25"/>
      <c r="CJ106" s="25" t="s">
        <v>1780</v>
      </c>
      <c r="CK106" s="25">
        <v>0</v>
      </c>
      <c r="CL106" s="25"/>
      <c r="CM106" s="25"/>
      <c r="CN106" s="25"/>
      <c r="CO106" s="25">
        <v>0</v>
      </c>
      <c r="CP106" s="25">
        <v>0</v>
      </c>
      <c r="CQ106" s="25">
        <v>0</v>
      </c>
      <c r="CR106" s="25">
        <v>0</v>
      </c>
      <c r="CS106" s="25"/>
      <c r="CT106" s="25"/>
      <c r="CU106" s="25">
        <v>0</v>
      </c>
      <c r="CV106" s="199">
        <f t="shared" ref="CV106" si="22">G106</f>
        <v>408525</v>
      </c>
      <c r="CW106" s="199" t="str">
        <f t="shared" ref="CW106" si="23">C106</f>
        <v>Ricoh</v>
      </c>
      <c r="CX106" s="199" t="str">
        <f>IF(Data!D106="E","Entry",IF(Data!D106="L","Low",IF(Data!D106="M","Medium","High")))</f>
        <v>Low</v>
      </c>
      <c r="CY106" s="206" t="str">
        <f t="shared" si="21"/>
        <v>SFP-BW_Ri_L_1Y</v>
      </c>
    </row>
    <row r="107" spans="1:103" s="36" customFormat="1" x14ac:dyDescent="0.2">
      <c r="A107" s="26" t="s">
        <v>757</v>
      </c>
      <c r="B107" s="26" t="s">
        <v>436</v>
      </c>
      <c r="C107" s="16" t="s">
        <v>8</v>
      </c>
      <c r="D107" s="186" t="s">
        <v>435</v>
      </c>
      <c r="E107" s="186">
        <v>2</v>
      </c>
      <c r="F107" s="184" t="s">
        <v>437</v>
      </c>
      <c r="G107" s="186">
        <v>0</v>
      </c>
      <c r="H107" s="27" t="s">
        <v>899</v>
      </c>
      <c r="I107" s="186">
        <v>0</v>
      </c>
      <c r="J107" s="189">
        <v>0</v>
      </c>
      <c r="K107" s="189">
        <v>0</v>
      </c>
      <c r="L107" s="26">
        <v>0</v>
      </c>
      <c r="M107" s="26">
        <v>0</v>
      </c>
      <c r="N107" s="26"/>
      <c r="O107" s="26" t="s">
        <v>0</v>
      </c>
      <c r="P107" s="26"/>
      <c r="Q107" s="26" t="s">
        <v>0</v>
      </c>
      <c r="R107" s="26"/>
      <c r="S107" s="26">
        <v>0</v>
      </c>
      <c r="T107" s="26"/>
      <c r="U107" s="26">
        <v>0</v>
      </c>
      <c r="V107" s="26"/>
      <c r="W107" s="26">
        <v>0</v>
      </c>
      <c r="X107" s="26"/>
      <c r="Y107" s="26">
        <v>0</v>
      </c>
      <c r="Z107" s="26"/>
      <c r="AA107" s="26">
        <v>0</v>
      </c>
      <c r="AB107" s="26"/>
      <c r="AC107" s="26">
        <v>0</v>
      </c>
      <c r="AD107" s="26"/>
      <c r="AE107" s="26">
        <v>0</v>
      </c>
      <c r="AF107" s="26"/>
      <c r="AG107" s="26">
        <v>0</v>
      </c>
      <c r="AH107" s="26"/>
      <c r="AI107" s="26">
        <v>0</v>
      </c>
      <c r="AJ107" s="26"/>
      <c r="AK107" s="26">
        <v>0</v>
      </c>
      <c r="AL107" s="26"/>
      <c r="AM107" s="26">
        <v>0</v>
      </c>
      <c r="AN107" s="26">
        <v>0</v>
      </c>
      <c r="AO107" s="26">
        <v>0</v>
      </c>
      <c r="AP107" s="26" t="s">
        <v>1250</v>
      </c>
      <c r="AQ107" s="189">
        <v>0</v>
      </c>
      <c r="AR107" s="26">
        <v>0</v>
      </c>
      <c r="AS107" s="26">
        <v>0</v>
      </c>
      <c r="AT107" s="26">
        <v>0</v>
      </c>
      <c r="AU107" s="26"/>
      <c r="AV107" s="26"/>
      <c r="AW107" s="26"/>
      <c r="AX107" s="26">
        <v>0</v>
      </c>
      <c r="AY107" s="26">
        <v>0</v>
      </c>
      <c r="AZ107" s="26">
        <v>0</v>
      </c>
      <c r="BA107" s="26">
        <v>0</v>
      </c>
      <c r="BB107" s="26">
        <v>0</v>
      </c>
      <c r="BC107" s="26">
        <v>0</v>
      </c>
      <c r="BD107" s="26">
        <v>0</v>
      </c>
      <c r="BE107" s="26">
        <v>0</v>
      </c>
      <c r="BF107" s="26">
        <v>0</v>
      </c>
      <c r="BG107" s="26">
        <v>0</v>
      </c>
      <c r="BH107" s="26">
        <v>0</v>
      </c>
      <c r="BI107" s="26">
        <v>0</v>
      </c>
      <c r="BJ107" s="26">
        <v>0</v>
      </c>
      <c r="BK107" s="26">
        <v>0</v>
      </c>
      <c r="BL107" s="26">
        <v>0</v>
      </c>
      <c r="BM107" s="26">
        <v>0</v>
      </c>
      <c r="BN107" s="26">
        <v>0</v>
      </c>
      <c r="BO107" s="26">
        <v>0</v>
      </c>
      <c r="BP107" s="26">
        <v>0</v>
      </c>
      <c r="BQ107" s="26">
        <v>0</v>
      </c>
      <c r="BR107" s="26">
        <v>0</v>
      </c>
      <c r="BS107" s="26"/>
      <c r="BT107" s="26">
        <v>0</v>
      </c>
      <c r="BU107" s="26">
        <v>0</v>
      </c>
      <c r="BV107" s="26">
        <v>0</v>
      </c>
      <c r="BW107" s="26">
        <v>0</v>
      </c>
      <c r="BX107" s="26">
        <v>0</v>
      </c>
      <c r="BY107" s="26">
        <v>0</v>
      </c>
      <c r="BZ107" s="26">
        <v>0</v>
      </c>
      <c r="CA107" s="26">
        <v>0</v>
      </c>
      <c r="CB107" s="26">
        <v>0</v>
      </c>
      <c r="CC107" s="26">
        <v>0</v>
      </c>
      <c r="CD107" s="26">
        <v>0</v>
      </c>
      <c r="CE107" s="26">
        <v>0</v>
      </c>
      <c r="CF107" s="26">
        <v>0</v>
      </c>
      <c r="CG107" s="26">
        <v>0</v>
      </c>
      <c r="CH107" s="26">
        <v>0</v>
      </c>
      <c r="CI107" s="26"/>
      <c r="CJ107" s="26">
        <v>0</v>
      </c>
      <c r="CK107" s="26">
        <v>0</v>
      </c>
      <c r="CL107" s="26"/>
      <c r="CM107" s="26"/>
      <c r="CN107" s="26"/>
      <c r="CO107" s="26">
        <v>0</v>
      </c>
      <c r="CP107" s="26">
        <v>0</v>
      </c>
      <c r="CQ107" s="26">
        <v>0</v>
      </c>
      <c r="CR107" s="26">
        <v>0</v>
      </c>
      <c r="CS107" s="26"/>
      <c r="CT107" s="26"/>
      <c r="CU107" s="26">
        <v>0</v>
      </c>
      <c r="CV107" s="186">
        <f t="shared" si="19"/>
        <v>0</v>
      </c>
      <c r="CW107" s="186" t="str">
        <f t="shared" si="20"/>
        <v>Ricoh</v>
      </c>
      <c r="CX107" s="186" t="str">
        <f>IF(Data!D107="E","Entry",IF(Data!D107="L","Low",IF(Data!D107="M","Medium","High")))</f>
        <v>Low</v>
      </c>
      <c r="CY107" s="187" t="str">
        <f t="shared" si="21"/>
        <v>SFP-BW_Ri_L_2N</v>
      </c>
    </row>
    <row r="108" spans="1:103" x14ac:dyDescent="0.2">
      <c r="A108" s="25" t="s">
        <v>758</v>
      </c>
      <c r="B108" s="25" t="s">
        <v>436</v>
      </c>
      <c r="C108" s="238" t="s">
        <v>8</v>
      </c>
      <c r="D108" s="199" t="s">
        <v>433</v>
      </c>
      <c r="E108" s="199">
        <v>1</v>
      </c>
      <c r="F108" s="203" t="s">
        <v>438</v>
      </c>
      <c r="G108" s="199">
        <v>407484</v>
      </c>
      <c r="H108" s="199" t="s">
        <v>765</v>
      </c>
      <c r="I108" s="199">
        <v>38</v>
      </c>
      <c r="J108" s="204">
        <v>1200000</v>
      </c>
      <c r="K108" s="204">
        <v>200000</v>
      </c>
      <c r="L108" s="25">
        <v>1111.9680000000001</v>
      </c>
      <c r="M108" s="25">
        <v>1.6500000000000001E-2</v>
      </c>
      <c r="N108" s="25"/>
      <c r="O108" s="25" t="s">
        <v>0</v>
      </c>
      <c r="P108" s="25"/>
      <c r="Q108" s="25" t="s">
        <v>0</v>
      </c>
      <c r="R108" s="25"/>
      <c r="S108" s="25">
        <v>3.3000000000000002E-2</v>
      </c>
      <c r="T108" s="25"/>
      <c r="U108" s="25">
        <v>4.5100000000000008E-2</v>
      </c>
      <c r="V108" s="25"/>
      <c r="W108" s="25">
        <v>3.6850000000000008E-2</v>
      </c>
      <c r="X108" s="25"/>
      <c r="Y108" s="25">
        <v>3.8500000000000006E-2</v>
      </c>
      <c r="Z108" s="25"/>
      <c r="AA108" s="25">
        <v>3.7400000000000003E-2</v>
      </c>
      <c r="AB108" s="25"/>
      <c r="AC108" s="25">
        <v>4.9500000000000002E-2</v>
      </c>
      <c r="AD108" s="25"/>
      <c r="AE108" s="25">
        <v>3.3500000000000002E-2</v>
      </c>
      <c r="AF108" s="25"/>
      <c r="AG108" s="25">
        <v>4.9500000000000002E-2</v>
      </c>
      <c r="AH108" s="25"/>
      <c r="AI108" s="25">
        <v>5.5000000000000007E-2</v>
      </c>
      <c r="AJ108" s="25"/>
      <c r="AK108" s="25">
        <v>2.0899999999999998E-2</v>
      </c>
      <c r="AL108" s="25"/>
      <c r="AM108" s="25">
        <v>407508</v>
      </c>
      <c r="AN108" s="25" t="s">
        <v>766</v>
      </c>
      <c r="AO108" s="25">
        <v>152.9</v>
      </c>
      <c r="AP108" s="25" t="s">
        <v>1250</v>
      </c>
      <c r="AQ108" s="204" t="s">
        <v>767</v>
      </c>
      <c r="AR108" s="25">
        <v>201.3</v>
      </c>
      <c r="AS108" s="25" t="s">
        <v>768</v>
      </c>
      <c r="AT108" s="25">
        <v>357.50000000000006</v>
      </c>
      <c r="AU108" s="25"/>
      <c r="AV108" s="25"/>
      <c r="AW108" s="25"/>
      <c r="AX108" s="25" t="s">
        <v>259</v>
      </c>
      <c r="AY108" s="25">
        <v>0</v>
      </c>
      <c r="AZ108" s="25">
        <v>0</v>
      </c>
      <c r="BA108" s="25">
        <v>0</v>
      </c>
      <c r="BB108" s="25">
        <v>487.96000000000004</v>
      </c>
      <c r="BC108" s="25">
        <v>564.96</v>
      </c>
      <c r="BD108" s="25">
        <v>707.96</v>
      </c>
      <c r="BE108" s="25">
        <v>309.76000000000005</v>
      </c>
      <c r="BF108" s="25">
        <v>652.96</v>
      </c>
      <c r="BG108" s="25">
        <v>487.96000000000004</v>
      </c>
      <c r="BH108" s="25">
        <v>817.96</v>
      </c>
      <c r="BI108" s="25">
        <v>982.96000000000015</v>
      </c>
      <c r="BJ108" s="25">
        <v>1092.96</v>
      </c>
      <c r="BK108" s="25">
        <v>982.96000000000015</v>
      </c>
      <c r="BL108" s="25" t="s">
        <v>769</v>
      </c>
      <c r="BM108" s="25" t="s">
        <v>762</v>
      </c>
      <c r="BN108" s="25" t="s">
        <v>770</v>
      </c>
      <c r="BO108" s="25">
        <v>20000</v>
      </c>
      <c r="BP108" s="25">
        <v>1200000</v>
      </c>
      <c r="BQ108" s="25" t="s">
        <v>763</v>
      </c>
      <c r="BR108" s="25" t="s">
        <v>771</v>
      </c>
      <c r="BS108" s="25"/>
      <c r="BT108" s="25" t="s">
        <v>2</v>
      </c>
      <c r="BU108" s="25" t="s">
        <v>769</v>
      </c>
      <c r="BV108" s="25" t="s">
        <v>772</v>
      </c>
      <c r="BW108" s="25" t="s">
        <v>773</v>
      </c>
      <c r="BX108" s="25" t="s">
        <v>774</v>
      </c>
      <c r="BY108" s="25" t="s">
        <v>121</v>
      </c>
      <c r="BZ108" s="25" t="s">
        <v>0</v>
      </c>
      <c r="CA108" s="25" t="s">
        <v>2</v>
      </c>
      <c r="CB108" s="25" t="s">
        <v>2</v>
      </c>
      <c r="CC108" s="25" t="s">
        <v>2</v>
      </c>
      <c r="CD108" s="25" t="s">
        <v>3</v>
      </c>
      <c r="CE108" s="25" t="s">
        <v>3</v>
      </c>
      <c r="CF108" s="25" t="s">
        <v>775</v>
      </c>
      <c r="CG108" s="25" t="s">
        <v>307</v>
      </c>
      <c r="CH108" s="25" t="s">
        <v>776</v>
      </c>
      <c r="CI108" s="25"/>
      <c r="CJ108" s="25" t="s">
        <v>777</v>
      </c>
      <c r="CK108" s="25" t="s">
        <v>0</v>
      </c>
      <c r="CL108" s="25"/>
      <c r="CM108" s="25"/>
      <c r="CN108" s="25"/>
      <c r="CO108" s="25" t="s">
        <v>778</v>
      </c>
      <c r="CP108" s="25" t="s">
        <v>779</v>
      </c>
      <c r="CQ108" s="25" t="s">
        <v>1784</v>
      </c>
      <c r="CR108" s="25" t="s">
        <v>780</v>
      </c>
      <c r="CS108" s="25"/>
      <c r="CT108" s="25"/>
      <c r="CU108" s="25">
        <v>0</v>
      </c>
      <c r="CV108" s="199">
        <f t="shared" si="19"/>
        <v>407484</v>
      </c>
      <c r="CW108" s="199" t="str">
        <f t="shared" si="20"/>
        <v>Ricoh</v>
      </c>
      <c r="CX108" s="199" t="str">
        <f>IF(Data!D108="E","Entry",IF(Data!D108="L","Low",IF(Data!D108="M","Medium","High")))</f>
        <v>Medium</v>
      </c>
      <c r="CY108" s="206" t="str">
        <f t="shared" si="21"/>
        <v>SFP-BW_Ri_M_1Y</v>
      </c>
    </row>
    <row r="109" spans="1:103" ht="20.100000000000001" customHeight="1" x14ac:dyDescent="0.2">
      <c r="A109" s="25" t="s">
        <v>764</v>
      </c>
      <c r="B109" s="25" t="s">
        <v>436</v>
      </c>
      <c r="C109" s="238" t="s">
        <v>8</v>
      </c>
      <c r="D109" s="199" t="s">
        <v>433</v>
      </c>
      <c r="E109" s="199">
        <v>2</v>
      </c>
      <c r="F109" s="203" t="s">
        <v>438</v>
      </c>
      <c r="G109" s="199">
        <v>0</v>
      </c>
      <c r="H109" s="199" t="s">
        <v>899</v>
      </c>
      <c r="I109" s="186">
        <v>0</v>
      </c>
      <c r="J109" s="189">
        <v>0</v>
      </c>
      <c r="K109" s="189">
        <v>0</v>
      </c>
      <c r="L109" s="26">
        <v>0</v>
      </c>
      <c r="M109" s="26">
        <v>0</v>
      </c>
      <c r="N109" s="26"/>
      <c r="O109" s="26">
        <v>0</v>
      </c>
      <c r="P109" s="26"/>
      <c r="Q109" s="26">
        <v>0</v>
      </c>
      <c r="R109" s="26"/>
      <c r="S109" s="26">
        <v>0</v>
      </c>
      <c r="T109" s="26"/>
      <c r="U109" s="26">
        <v>0</v>
      </c>
      <c r="V109" s="26"/>
      <c r="W109" s="26">
        <v>0</v>
      </c>
      <c r="X109" s="26"/>
      <c r="Y109" s="26">
        <v>0</v>
      </c>
      <c r="Z109" s="26"/>
      <c r="AA109" s="26">
        <v>0</v>
      </c>
      <c r="AB109" s="26"/>
      <c r="AC109" s="26">
        <v>0</v>
      </c>
      <c r="AD109" s="26"/>
      <c r="AE109" s="26">
        <v>0</v>
      </c>
      <c r="AF109" s="26"/>
      <c r="AG109" s="26">
        <v>0</v>
      </c>
      <c r="AH109" s="26"/>
      <c r="AI109" s="26">
        <v>0</v>
      </c>
      <c r="AJ109" s="26"/>
      <c r="AK109" s="26">
        <v>0</v>
      </c>
      <c r="AL109" s="26"/>
      <c r="AM109" s="26">
        <v>0</v>
      </c>
      <c r="AN109" s="26">
        <v>0</v>
      </c>
      <c r="AO109" s="26">
        <v>0</v>
      </c>
      <c r="AP109" s="26" t="s">
        <v>1250</v>
      </c>
      <c r="AQ109" s="189">
        <v>0</v>
      </c>
      <c r="AR109" s="26">
        <v>0</v>
      </c>
      <c r="AS109" s="26">
        <v>0</v>
      </c>
      <c r="AT109" s="26">
        <v>0</v>
      </c>
      <c r="AU109" s="26"/>
      <c r="AV109" s="26"/>
      <c r="AW109" s="26"/>
      <c r="AX109" s="26">
        <v>0</v>
      </c>
      <c r="AY109" s="26">
        <v>0</v>
      </c>
      <c r="AZ109" s="26">
        <v>0</v>
      </c>
      <c r="BA109" s="26">
        <v>0</v>
      </c>
      <c r="BB109" s="26">
        <v>0</v>
      </c>
      <c r="BC109" s="26">
        <v>0</v>
      </c>
      <c r="BD109" s="26">
        <v>0</v>
      </c>
      <c r="BE109" s="26">
        <v>0</v>
      </c>
      <c r="BF109" s="26">
        <v>0</v>
      </c>
      <c r="BG109" s="26">
        <v>0</v>
      </c>
      <c r="BH109" s="26">
        <v>0</v>
      </c>
      <c r="BI109" s="26">
        <v>0</v>
      </c>
      <c r="BJ109" s="26">
        <v>0</v>
      </c>
      <c r="BK109" s="26">
        <v>0</v>
      </c>
      <c r="BL109" s="26">
        <v>0</v>
      </c>
      <c r="BM109" s="26">
        <v>0</v>
      </c>
      <c r="BN109" s="26">
        <v>0</v>
      </c>
      <c r="BO109" s="26">
        <v>0</v>
      </c>
      <c r="BP109" s="26">
        <v>0</v>
      </c>
      <c r="BQ109" s="26">
        <v>0</v>
      </c>
      <c r="BR109" s="26">
        <v>0</v>
      </c>
      <c r="BS109" s="26"/>
      <c r="BT109" s="26">
        <v>0</v>
      </c>
      <c r="BU109" s="26">
        <v>0</v>
      </c>
      <c r="BV109" s="26">
        <v>0</v>
      </c>
      <c r="BW109" s="26">
        <v>0</v>
      </c>
      <c r="BX109" s="26">
        <v>0</v>
      </c>
      <c r="BY109" s="26">
        <v>0</v>
      </c>
      <c r="BZ109" s="26">
        <v>0</v>
      </c>
      <c r="CA109" s="26">
        <v>0</v>
      </c>
      <c r="CB109" s="26">
        <v>0</v>
      </c>
      <c r="CC109" s="26">
        <v>0</v>
      </c>
      <c r="CD109" s="26">
        <v>0</v>
      </c>
      <c r="CE109" s="26">
        <v>0</v>
      </c>
      <c r="CF109" s="26">
        <v>0</v>
      </c>
      <c r="CG109" s="26">
        <v>0</v>
      </c>
      <c r="CH109" s="26">
        <v>0</v>
      </c>
      <c r="CI109" s="26"/>
      <c r="CJ109" s="26">
        <v>0</v>
      </c>
      <c r="CK109" s="26">
        <v>0</v>
      </c>
      <c r="CL109" s="26"/>
      <c r="CM109" s="26"/>
      <c r="CN109" s="26"/>
      <c r="CO109" s="26">
        <v>0</v>
      </c>
      <c r="CP109" s="26">
        <v>0</v>
      </c>
      <c r="CQ109" s="26">
        <v>0</v>
      </c>
      <c r="CR109" s="26">
        <v>0</v>
      </c>
      <c r="CS109" s="26"/>
      <c r="CT109" s="26"/>
      <c r="CU109" s="25">
        <v>0</v>
      </c>
      <c r="CV109" s="199">
        <f t="shared" si="19"/>
        <v>0</v>
      </c>
      <c r="CW109" s="199" t="str">
        <f t="shared" si="20"/>
        <v>Ricoh</v>
      </c>
      <c r="CX109" s="199" t="str">
        <f>IF(Data!D109="E","Entry",IF(Data!D109="L","Low",IF(Data!D109="M","Medium","High")))</f>
        <v>Medium</v>
      </c>
      <c r="CY109" s="206" t="str">
        <f t="shared" si="21"/>
        <v>SFP-BW_Ri_M_2N</v>
      </c>
    </row>
    <row r="110" spans="1:103" ht="20.100000000000001" customHeight="1" x14ac:dyDescent="0.2">
      <c r="A110" s="25" t="s">
        <v>781</v>
      </c>
      <c r="B110" s="25" t="s">
        <v>436</v>
      </c>
      <c r="C110" s="238" t="s">
        <v>8</v>
      </c>
      <c r="D110" s="199" t="s">
        <v>432</v>
      </c>
      <c r="E110" s="199">
        <v>1</v>
      </c>
      <c r="F110" s="199" t="s">
        <v>439</v>
      </c>
      <c r="G110" s="199">
        <v>418495</v>
      </c>
      <c r="H110" s="199" t="s">
        <v>2066</v>
      </c>
      <c r="I110" s="199">
        <v>43</v>
      </c>
      <c r="J110" s="204">
        <v>600000</v>
      </c>
      <c r="K110" s="204">
        <v>150000</v>
      </c>
      <c r="L110" s="25">
        <v>1038.3120000000001</v>
      </c>
      <c r="M110" s="25">
        <v>1.3200000000000002E-2</v>
      </c>
      <c r="N110" s="25"/>
      <c r="O110" s="25" t="s">
        <v>0</v>
      </c>
      <c r="P110" s="25"/>
      <c r="Q110" s="25" t="s">
        <v>0</v>
      </c>
      <c r="R110" s="25"/>
      <c r="S110" s="25">
        <v>3.3000000000000002E-2</v>
      </c>
      <c r="T110" s="25"/>
      <c r="U110" s="25">
        <v>4.5100000000000008E-2</v>
      </c>
      <c r="V110" s="25"/>
      <c r="W110" s="25">
        <v>4.8730000000000002E-2</v>
      </c>
      <c r="X110" s="25"/>
      <c r="Y110" s="25">
        <v>2.2000000000000002E-2</v>
      </c>
      <c r="Z110" s="25"/>
      <c r="AA110" s="25">
        <v>3.9600000000000003E-2</v>
      </c>
      <c r="AB110" s="25"/>
      <c r="AC110" s="25">
        <v>2.2000000000000002E-2</v>
      </c>
      <c r="AD110" s="25"/>
      <c r="AE110" s="25">
        <v>4.4299999999999999E-2</v>
      </c>
      <c r="AF110" s="25"/>
      <c r="AG110" s="25">
        <v>3.3000000000000002E-2</v>
      </c>
      <c r="AH110" s="25"/>
      <c r="AI110" s="25">
        <v>6.4350000000000004E-2</v>
      </c>
      <c r="AJ110" s="25"/>
      <c r="AK110" s="25">
        <v>2.0899999999999998E-2</v>
      </c>
      <c r="AL110" s="25"/>
      <c r="AM110" s="25">
        <v>407336</v>
      </c>
      <c r="AN110" s="25" t="s">
        <v>782</v>
      </c>
      <c r="AO110" s="25">
        <v>202.4</v>
      </c>
      <c r="AP110" s="25" t="s">
        <v>1250</v>
      </c>
      <c r="AQ110" s="204" t="s">
        <v>759</v>
      </c>
      <c r="AR110" s="25">
        <v>106.7</v>
      </c>
      <c r="AS110" s="25" t="s">
        <v>760</v>
      </c>
      <c r="AT110" s="25">
        <v>400.4</v>
      </c>
      <c r="AU110" s="25"/>
      <c r="AV110" s="25"/>
      <c r="AW110" s="25"/>
      <c r="AX110" s="25" t="s">
        <v>259</v>
      </c>
      <c r="AY110" s="25">
        <v>0</v>
      </c>
      <c r="AZ110" s="25">
        <v>0</v>
      </c>
      <c r="BA110" s="25">
        <v>0</v>
      </c>
      <c r="BB110" s="25">
        <v>481.14</v>
      </c>
      <c r="BC110" s="25">
        <v>481.14</v>
      </c>
      <c r="BD110" s="25">
        <v>481.14</v>
      </c>
      <c r="BE110" s="25">
        <v>302.94</v>
      </c>
      <c r="BF110" s="25">
        <v>426.14</v>
      </c>
      <c r="BG110" s="25">
        <v>481.14</v>
      </c>
      <c r="BH110" s="25">
        <v>481.14</v>
      </c>
      <c r="BI110" s="25">
        <v>426.14</v>
      </c>
      <c r="BJ110" s="25">
        <v>449.46000000000004</v>
      </c>
      <c r="BK110" s="25">
        <v>426.14</v>
      </c>
      <c r="BL110" s="25" t="s">
        <v>761</v>
      </c>
      <c r="BM110" s="25" t="s">
        <v>678</v>
      </c>
      <c r="BN110" s="25" t="s">
        <v>783</v>
      </c>
      <c r="BO110" s="25">
        <v>10000</v>
      </c>
      <c r="BP110" s="25">
        <v>600000</v>
      </c>
      <c r="BQ110" s="25" t="s">
        <v>784</v>
      </c>
      <c r="BR110" s="25" t="s">
        <v>195</v>
      </c>
      <c r="BS110" s="25"/>
      <c r="BT110" s="25" t="s">
        <v>2</v>
      </c>
      <c r="BU110" s="25" t="s">
        <v>761</v>
      </c>
      <c r="BV110" s="25" t="s">
        <v>681</v>
      </c>
      <c r="BW110" s="25" t="s">
        <v>773</v>
      </c>
      <c r="BX110" s="25" t="s">
        <v>683</v>
      </c>
      <c r="BY110" s="25" t="s">
        <v>121</v>
      </c>
      <c r="BZ110" s="25" t="s">
        <v>0</v>
      </c>
      <c r="CA110" s="25" t="s">
        <v>2</v>
      </c>
      <c r="CB110" s="25" t="s">
        <v>2</v>
      </c>
      <c r="CC110" s="25" t="s">
        <v>2</v>
      </c>
      <c r="CD110" s="25" t="s">
        <v>3</v>
      </c>
      <c r="CE110" s="25" t="s">
        <v>3</v>
      </c>
      <c r="CF110" s="25" t="s">
        <v>785</v>
      </c>
      <c r="CG110" s="25" t="s">
        <v>307</v>
      </c>
      <c r="CH110" s="25" t="s">
        <v>776</v>
      </c>
      <c r="CI110" s="25"/>
      <c r="CJ110" s="25" t="s">
        <v>777</v>
      </c>
      <c r="CK110" s="25" t="s">
        <v>0</v>
      </c>
      <c r="CL110" s="25"/>
      <c r="CM110" s="25"/>
      <c r="CN110" s="25"/>
      <c r="CO110" s="25" t="s">
        <v>787</v>
      </c>
      <c r="CP110" s="25" t="s">
        <v>788</v>
      </c>
      <c r="CQ110" s="205" t="s">
        <v>1785</v>
      </c>
      <c r="CR110" s="25" t="s">
        <v>789</v>
      </c>
      <c r="CS110" s="25"/>
      <c r="CT110" s="25"/>
      <c r="CU110" s="25">
        <v>0</v>
      </c>
      <c r="CV110" s="199">
        <f t="shared" si="19"/>
        <v>418495</v>
      </c>
      <c r="CW110" s="199" t="str">
        <f t="shared" si="20"/>
        <v>Ricoh</v>
      </c>
      <c r="CX110" s="199" t="str">
        <f>IF(Data!D110="E","Entry",IF(Data!D110="L","Low",IF(Data!D110="M","Medium","High")))</f>
        <v>High</v>
      </c>
      <c r="CY110" s="206" t="str">
        <f t="shared" si="21"/>
        <v>SFP-BW_Ri_H_1Y</v>
      </c>
    </row>
    <row r="111" spans="1:103" ht="20.100000000000001" customHeight="1" x14ac:dyDescent="0.2">
      <c r="A111" s="25" t="s">
        <v>790</v>
      </c>
      <c r="B111" s="25" t="s">
        <v>436</v>
      </c>
      <c r="C111" s="238" t="s">
        <v>8</v>
      </c>
      <c r="D111" s="199" t="s">
        <v>432</v>
      </c>
      <c r="E111" s="199">
        <v>2</v>
      </c>
      <c r="F111" s="199" t="s">
        <v>439</v>
      </c>
      <c r="G111" s="199">
        <v>418471</v>
      </c>
      <c r="H111" s="199" t="s">
        <v>1830</v>
      </c>
      <c r="I111" s="199">
        <v>55</v>
      </c>
      <c r="J111" s="204">
        <v>996000</v>
      </c>
      <c r="K111" s="204">
        <v>250000</v>
      </c>
      <c r="L111" s="25">
        <v>1050.1920000000002</v>
      </c>
      <c r="M111" s="25">
        <v>1.3200000000000002E-2</v>
      </c>
      <c r="N111" s="25"/>
      <c r="O111" s="25" t="s">
        <v>0</v>
      </c>
      <c r="P111" s="25"/>
      <c r="Q111" s="25" t="s">
        <v>0</v>
      </c>
      <c r="R111" s="25"/>
      <c r="S111" s="25">
        <v>3.3000000000000002E-2</v>
      </c>
      <c r="T111" s="25"/>
      <c r="U111" s="25">
        <v>4.5100000000000008E-2</v>
      </c>
      <c r="V111" s="25"/>
      <c r="W111" s="25">
        <v>4.8730000000000002E-2</v>
      </c>
      <c r="X111" s="25"/>
      <c r="Y111" s="25">
        <v>1.9800000000000002E-2</v>
      </c>
      <c r="Z111" s="25"/>
      <c r="AA111" s="25">
        <v>3.9600000000000003E-2</v>
      </c>
      <c r="AB111" s="25"/>
      <c r="AC111" s="25">
        <v>2.2000000000000002E-2</v>
      </c>
      <c r="AD111" s="25"/>
      <c r="AE111" s="25">
        <v>4.4299999999999999E-2</v>
      </c>
      <c r="AF111" s="25"/>
      <c r="AG111" s="25">
        <v>3.3000000000000002E-2</v>
      </c>
      <c r="AH111" s="25"/>
      <c r="AI111" s="25">
        <v>4.5100000000000008E-2</v>
      </c>
      <c r="AJ111" s="25"/>
      <c r="AK111" s="25">
        <v>2.0899999999999998E-2</v>
      </c>
      <c r="AL111" s="25"/>
      <c r="AM111" s="25">
        <v>841888</v>
      </c>
      <c r="AN111" s="25" t="s">
        <v>791</v>
      </c>
      <c r="AO111" s="25">
        <v>64.900000000000006</v>
      </c>
      <c r="AP111" s="25" t="s">
        <v>1250</v>
      </c>
      <c r="AQ111" s="204">
        <v>407324</v>
      </c>
      <c r="AR111" s="25">
        <v>106.7</v>
      </c>
      <c r="AS111" s="25" t="s">
        <v>259</v>
      </c>
      <c r="AT111" s="25" t="s">
        <v>259</v>
      </c>
      <c r="AU111" s="25"/>
      <c r="AV111" s="25"/>
      <c r="AW111" s="25"/>
      <c r="AX111" s="25" t="s">
        <v>259</v>
      </c>
      <c r="AY111" s="25">
        <v>0</v>
      </c>
      <c r="AZ111" s="25">
        <v>0</v>
      </c>
      <c r="BA111" s="25">
        <v>0</v>
      </c>
      <c r="BB111" s="25">
        <v>482.24000000000007</v>
      </c>
      <c r="BC111" s="25">
        <v>482.24000000000007</v>
      </c>
      <c r="BD111" s="25">
        <v>482.24000000000007</v>
      </c>
      <c r="BE111" s="25">
        <v>304.04000000000008</v>
      </c>
      <c r="BF111" s="25">
        <v>427.24000000000007</v>
      </c>
      <c r="BG111" s="25">
        <v>482.24000000000007</v>
      </c>
      <c r="BH111" s="25">
        <v>482.24000000000007</v>
      </c>
      <c r="BI111" s="25">
        <v>427.24000000000007</v>
      </c>
      <c r="BJ111" s="25">
        <v>481.14</v>
      </c>
      <c r="BK111" s="25">
        <v>427.24000000000007</v>
      </c>
      <c r="BL111" s="25" t="s">
        <v>792</v>
      </c>
      <c r="BM111" s="25" t="s">
        <v>793</v>
      </c>
      <c r="BN111" s="25" t="s">
        <v>794</v>
      </c>
      <c r="BO111" s="25">
        <v>10000</v>
      </c>
      <c r="BP111" s="25">
        <v>600000</v>
      </c>
      <c r="BQ111" s="25" t="s">
        <v>795</v>
      </c>
      <c r="BR111" s="25" t="s">
        <v>195</v>
      </c>
      <c r="BS111" s="25"/>
      <c r="BT111" s="25" t="s">
        <v>2</v>
      </c>
      <c r="BU111" s="25" t="s">
        <v>792</v>
      </c>
      <c r="BV111" s="25" t="s">
        <v>681</v>
      </c>
      <c r="BW111" s="25" t="s">
        <v>773</v>
      </c>
      <c r="BX111" s="25" t="s">
        <v>683</v>
      </c>
      <c r="BY111" s="25" t="s">
        <v>121</v>
      </c>
      <c r="BZ111" s="25" t="s">
        <v>0</v>
      </c>
      <c r="CA111" s="25" t="s">
        <v>2</v>
      </c>
      <c r="CB111" s="25" t="s">
        <v>2</v>
      </c>
      <c r="CC111" s="25" t="s">
        <v>2</v>
      </c>
      <c r="CD111" s="25" t="s">
        <v>3</v>
      </c>
      <c r="CE111" s="25" t="s">
        <v>3</v>
      </c>
      <c r="CF111" s="25" t="s">
        <v>796</v>
      </c>
      <c r="CG111" s="25" t="s">
        <v>307</v>
      </c>
      <c r="CH111" s="25" t="s">
        <v>786</v>
      </c>
      <c r="CI111" s="25"/>
      <c r="CJ111" s="25" t="s">
        <v>777</v>
      </c>
      <c r="CK111" s="25" t="s">
        <v>0</v>
      </c>
      <c r="CL111" s="25"/>
      <c r="CM111" s="25"/>
      <c r="CN111" s="25"/>
      <c r="CO111" s="25" t="s">
        <v>797</v>
      </c>
      <c r="CP111" s="25" t="s">
        <v>788</v>
      </c>
      <c r="CQ111" s="205" t="s">
        <v>1786</v>
      </c>
      <c r="CR111" s="25" t="s">
        <v>798</v>
      </c>
      <c r="CS111" s="25"/>
      <c r="CT111" s="25"/>
      <c r="CU111" s="25">
        <v>0</v>
      </c>
      <c r="CV111" s="199">
        <f t="shared" si="19"/>
        <v>418471</v>
      </c>
      <c r="CW111" s="199" t="str">
        <f t="shared" si="20"/>
        <v>Ricoh</v>
      </c>
      <c r="CX111" s="199" t="str">
        <f>IF(Data!D111="E","Entry",IF(Data!D111="L","Low",IF(Data!D111="M","Medium","High")))</f>
        <v>High</v>
      </c>
      <c r="CY111" s="206" t="str">
        <f t="shared" si="21"/>
        <v>SFP-BW_Ri_H_2Y</v>
      </c>
    </row>
    <row r="112" spans="1:103" ht="20.100000000000001" customHeight="1" x14ac:dyDescent="0.2">
      <c r="A112" s="26" t="s">
        <v>799</v>
      </c>
      <c r="B112" s="26" t="s">
        <v>440</v>
      </c>
      <c r="C112" s="16" t="s">
        <v>10</v>
      </c>
      <c r="D112" s="186" t="s">
        <v>435</v>
      </c>
      <c r="E112" s="186">
        <v>1</v>
      </c>
      <c r="F112" s="184" t="s">
        <v>437</v>
      </c>
      <c r="G112" s="186">
        <v>0</v>
      </c>
      <c r="H112" s="27" t="s">
        <v>899</v>
      </c>
      <c r="I112" s="186">
        <v>0</v>
      </c>
      <c r="J112" s="189">
        <v>0</v>
      </c>
      <c r="K112" s="189">
        <v>0</v>
      </c>
      <c r="L112" s="26">
        <v>0</v>
      </c>
      <c r="M112" s="26">
        <v>0</v>
      </c>
      <c r="N112" s="26">
        <v>0</v>
      </c>
      <c r="O112" s="26">
        <v>0</v>
      </c>
      <c r="P112" s="26">
        <v>0</v>
      </c>
      <c r="Q112" s="26">
        <v>0</v>
      </c>
      <c r="R112" s="26">
        <v>0</v>
      </c>
      <c r="S112" s="26">
        <v>0</v>
      </c>
      <c r="T112" s="26">
        <v>0</v>
      </c>
      <c r="U112" s="26">
        <v>0</v>
      </c>
      <c r="V112" s="26">
        <v>0</v>
      </c>
      <c r="W112" s="26">
        <v>0</v>
      </c>
      <c r="X112" s="26">
        <v>0</v>
      </c>
      <c r="Y112" s="26">
        <v>0</v>
      </c>
      <c r="Z112" s="26">
        <v>0</v>
      </c>
      <c r="AA112" s="26">
        <v>0</v>
      </c>
      <c r="AB112" s="26">
        <v>0</v>
      </c>
      <c r="AC112" s="26">
        <v>0</v>
      </c>
      <c r="AD112" s="26">
        <v>0</v>
      </c>
      <c r="AE112" s="26">
        <v>0</v>
      </c>
      <c r="AF112" s="26">
        <v>0</v>
      </c>
      <c r="AG112" s="26">
        <v>0</v>
      </c>
      <c r="AH112" s="26">
        <v>0</v>
      </c>
      <c r="AI112" s="26">
        <v>0</v>
      </c>
      <c r="AJ112" s="26">
        <v>0</v>
      </c>
      <c r="AK112" s="26">
        <v>0</v>
      </c>
      <c r="AL112" s="26">
        <v>0</v>
      </c>
      <c r="AM112" s="26"/>
      <c r="AN112" s="26">
        <v>0</v>
      </c>
      <c r="AO112" s="26">
        <v>0</v>
      </c>
      <c r="AP112" s="26">
        <v>0</v>
      </c>
      <c r="AQ112" s="26">
        <v>0</v>
      </c>
      <c r="AR112" s="26"/>
      <c r="AS112" s="26">
        <v>0</v>
      </c>
      <c r="AT112" s="26">
        <v>0</v>
      </c>
      <c r="AU112" s="26"/>
      <c r="AV112" s="26"/>
      <c r="AW112" s="26"/>
      <c r="AX112" s="26">
        <v>0</v>
      </c>
      <c r="AY112" s="26">
        <v>0</v>
      </c>
      <c r="AZ112" s="26">
        <v>0</v>
      </c>
      <c r="BA112" s="26">
        <v>0</v>
      </c>
      <c r="BB112" s="26">
        <v>0</v>
      </c>
      <c r="BC112" s="26">
        <v>0</v>
      </c>
      <c r="BD112" s="26">
        <v>0</v>
      </c>
      <c r="BE112" s="26">
        <v>0</v>
      </c>
      <c r="BF112" s="26">
        <v>0</v>
      </c>
      <c r="BG112" s="26">
        <v>0</v>
      </c>
      <c r="BH112" s="26">
        <v>0</v>
      </c>
      <c r="BI112" s="26">
        <v>0</v>
      </c>
      <c r="BJ112" s="26">
        <v>0</v>
      </c>
      <c r="BK112" s="26">
        <v>0</v>
      </c>
      <c r="BL112" s="26">
        <v>0</v>
      </c>
      <c r="BM112" s="26">
        <v>0</v>
      </c>
      <c r="BN112" s="26">
        <v>0</v>
      </c>
      <c r="BO112" s="26">
        <v>0</v>
      </c>
      <c r="BP112" s="26">
        <v>0</v>
      </c>
      <c r="BQ112" s="26">
        <v>0</v>
      </c>
      <c r="BR112" s="26">
        <v>0</v>
      </c>
      <c r="BS112" s="26"/>
      <c r="BT112" s="26">
        <v>0</v>
      </c>
      <c r="BU112" s="26">
        <v>0</v>
      </c>
      <c r="BV112" s="26">
        <v>0</v>
      </c>
      <c r="BW112" s="26">
        <v>0</v>
      </c>
      <c r="BX112" s="26">
        <v>0</v>
      </c>
      <c r="BY112" s="26">
        <v>0</v>
      </c>
      <c r="BZ112" s="26">
        <v>0</v>
      </c>
      <c r="CA112" s="26">
        <v>0</v>
      </c>
      <c r="CB112" s="26">
        <v>0</v>
      </c>
      <c r="CC112" s="26">
        <v>0</v>
      </c>
      <c r="CD112" s="26">
        <v>0</v>
      </c>
      <c r="CE112" s="26">
        <v>0</v>
      </c>
      <c r="CF112" s="26">
        <v>0</v>
      </c>
      <c r="CG112" s="26">
        <v>0</v>
      </c>
      <c r="CH112" s="26">
        <v>0</v>
      </c>
      <c r="CI112" s="26"/>
      <c r="CJ112" s="26">
        <v>0</v>
      </c>
      <c r="CK112" s="26">
        <v>0</v>
      </c>
      <c r="CL112" s="26"/>
      <c r="CM112" s="26"/>
      <c r="CN112" s="26"/>
      <c r="CO112" s="26">
        <v>0</v>
      </c>
      <c r="CP112" s="26">
        <v>0</v>
      </c>
      <c r="CQ112" s="26">
        <v>0</v>
      </c>
      <c r="CR112" s="26">
        <v>0</v>
      </c>
      <c r="CS112" s="26"/>
      <c r="CT112" s="26"/>
      <c r="CU112" s="26">
        <v>0</v>
      </c>
      <c r="CV112" s="186">
        <f t="shared" ref="CV112" si="24">G112</f>
        <v>0</v>
      </c>
      <c r="CW112" s="186" t="str">
        <f t="shared" ref="CW112" si="25">C112</f>
        <v>Konica Minolta</v>
      </c>
      <c r="CX112" s="186" t="str">
        <f>IF(Data!D112="E","Entry",IF(Data!D112="L","Low",IF(Data!D112="M","Medium","High")))</f>
        <v>Low</v>
      </c>
      <c r="CY112" s="187" t="str">
        <f t="shared" si="21"/>
        <v>SFP-Colour_Ko_L_1N</v>
      </c>
    </row>
    <row r="113" spans="1:130" s="36" customFormat="1" ht="20.100000000000001" customHeight="1" x14ac:dyDescent="0.2">
      <c r="A113" s="26" t="s">
        <v>813</v>
      </c>
      <c r="B113" s="26" t="s">
        <v>440</v>
      </c>
      <c r="C113" s="16" t="s">
        <v>10</v>
      </c>
      <c r="D113" s="186" t="s">
        <v>435</v>
      </c>
      <c r="E113" s="186">
        <v>2</v>
      </c>
      <c r="F113" s="184" t="s">
        <v>437</v>
      </c>
      <c r="G113" s="186">
        <v>0</v>
      </c>
      <c r="H113" s="27" t="s">
        <v>899</v>
      </c>
      <c r="I113" s="186">
        <v>0</v>
      </c>
      <c r="J113" s="189">
        <v>0</v>
      </c>
      <c r="K113" s="189">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6">
        <v>0</v>
      </c>
      <c r="AC113" s="26">
        <v>0</v>
      </c>
      <c r="AD113" s="26">
        <v>0</v>
      </c>
      <c r="AE113" s="26">
        <v>0</v>
      </c>
      <c r="AF113" s="26">
        <v>0</v>
      </c>
      <c r="AG113" s="26">
        <v>0</v>
      </c>
      <c r="AH113" s="26">
        <v>0</v>
      </c>
      <c r="AI113" s="26">
        <v>0</v>
      </c>
      <c r="AJ113" s="26">
        <v>0</v>
      </c>
      <c r="AK113" s="26">
        <v>0</v>
      </c>
      <c r="AL113" s="26">
        <v>0</v>
      </c>
      <c r="AM113" s="26"/>
      <c r="AN113" s="26">
        <v>0</v>
      </c>
      <c r="AO113" s="26">
        <v>0</v>
      </c>
      <c r="AP113" s="26">
        <v>0</v>
      </c>
      <c r="AQ113" s="26">
        <v>0</v>
      </c>
      <c r="AR113" s="26"/>
      <c r="AS113" s="26">
        <v>0</v>
      </c>
      <c r="AT113" s="26">
        <v>0</v>
      </c>
      <c r="AU113" s="26"/>
      <c r="AV113" s="26"/>
      <c r="AW113" s="26"/>
      <c r="AX113" s="26">
        <v>0</v>
      </c>
      <c r="AY113" s="26">
        <v>0</v>
      </c>
      <c r="AZ113" s="26">
        <v>0</v>
      </c>
      <c r="BA113" s="26">
        <v>0</v>
      </c>
      <c r="BB113" s="26">
        <v>0</v>
      </c>
      <c r="BC113" s="26">
        <v>0</v>
      </c>
      <c r="BD113" s="26">
        <v>0</v>
      </c>
      <c r="BE113" s="26">
        <v>0</v>
      </c>
      <c r="BF113" s="26">
        <v>0</v>
      </c>
      <c r="BG113" s="26">
        <v>0</v>
      </c>
      <c r="BH113" s="26">
        <v>0</v>
      </c>
      <c r="BI113" s="26">
        <v>0</v>
      </c>
      <c r="BJ113" s="26">
        <v>0</v>
      </c>
      <c r="BK113" s="26">
        <v>0</v>
      </c>
      <c r="BL113" s="26">
        <v>0</v>
      </c>
      <c r="BM113" s="26">
        <v>0</v>
      </c>
      <c r="BN113" s="26">
        <v>0</v>
      </c>
      <c r="BO113" s="26">
        <v>0</v>
      </c>
      <c r="BP113" s="26">
        <v>0</v>
      </c>
      <c r="BQ113" s="26">
        <v>0</v>
      </c>
      <c r="BR113" s="26">
        <v>0</v>
      </c>
      <c r="BS113" s="26"/>
      <c r="BT113" s="26">
        <v>0</v>
      </c>
      <c r="BU113" s="26">
        <v>0</v>
      </c>
      <c r="BV113" s="26">
        <v>0</v>
      </c>
      <c r="BW113" s="26">
        <v>0</v>
      </c>
      <c r="BX113" s="26">
        <v>0</v>
      </c>
      <c r="BY113" s="26">
        <v>0</v>
      </c>
      <c r="BZ113" s="26">
        <v>0</v>
      </c>
      <c r="CA113" s="26">
        <v>0</v>
      </c>
      <c r="CB113" s="26">
        <v>0</v>
      </c>
      <c r="CC113" s="26">
        <v>0</v>
      </c>
      <c r="CD113" s="26">
        <v>0</v>
      </c>
      <c r="CE113" s="26">
        <v>0</v>
      </c>
      <c r="CF113" s="26">
        <v>0</v>
      </c>
      <c r="CG113" s="26">
        <v>0</v>
      </c>
      <c r="CH113" s="26">
        <v>0</v>
      </c>
      <c r="CI113" s="26"/>
      <c r="CJ113" s="26">
        <v>0</v>
      </c>
      <c r="CK113" s="26">
        <v>0</v>
      </c>
      <c r="CL113" s="26"/>
      <c r="CM113" s="26"/>
      <c r="CN113" s="26"/>
      <c r="CO113" s="26">
        <v>0</v>
      </c>
      <c r="CP113" s="26">
        <v>0</v>
      </c>
      <c r="CQ113" s="26">
        <v>0</v>
      </c>
      <c r="CR113" s="26">
        <v>0</v>
      </c>
      <c r="CS113" s="26"/>
      <c r="CT113" s="26"/>
      <c r="CU113" s="26">
        <v>0</v>
      </c>
      <c r="CV113" s="186">
        <f t="shared" si="19"/>
        <v>0</v>
      </c>
      <c r="CW113" s="186" t="str">
        <f t="shared" si="20"/>
        <v>Konica Minolta</v>
      </c>
      <c r="CX113" s="186" t="str">
        <f>IF(Data!D113="E","Entry",IF(Data!D113="L","Low",IF(Data!D113="M","Medium","High")))</f>
        <v>Low</v>
      </c>
      <c r="CY113" s="187" t="str">
        <f t="shared" si="21"/>
        <v>SFP-Colour_Ko_L_2N</v>
      </c>
    </row>
    <row r="114" spans="1:130" s="36" customFormat="1" ht="20.100000000000001" customHeight="1" x14ac:dyDescent="0.2">
      <c r="A114" s="26" t="s">
        <v>814</v>
      </c>
      <c r="B114" s="26" t="s">
        <v>440</v>
      </c>
      <c r="C114" s="16" t="s">
        <v>10</v>
      </c>
      <c r="D114" s="186" t="s">
        <v>433</v>
      </c>
      <c r="E114" s="186">
        <v>1</v>
      </c>
      <c r="F114" s="184" t="s">
        <v>438</v>
      </c>
      <c r="G114" s="186" t="s">
        <v>2449</v>
      </c>
      <c r="H114" s="27" t="s">
        <v>2450</v>
      </c>
      <c r="I114" s="186">
        <v>33</v>
      </c>
      <c r="J114" s="189">
        <v>400000</v>
      </c>
      <c r="K114" s="189">
        <v>6667</v>
      </c>
      <c r="L114" s="284">
        <f>[1]Sheet1!C22*1.07</f>
        <v>1401.807</v>
      </c>
      <c r="M114" s="26">
        <v>7.1999999999999998E-3</v>
      </c>
      <c r="N114" s="26">
        <v>6.6000000000000003E-2</v>
      </c>
      <c r="O114" s="26">
        <v>4.3999999999999997E-2</v>
      </c>
      <c r="P114" s="26">
        <v>0.22</v>
      </c>
      <c r="Q114" s="26">
        <v>4.3999999999999997E-2</v>
      </c>
      <c r="R114" s="26">
        <v>0.22</v>
      </c>
      <c r="S114" s="26">
        <v>2.75E-2</v>
      </c>
      <c r="T114" s="26">
        <v>0.154</v>
      </c>
      <c r="U114" s="26">
        <v>1.32E-2</v>
      </c>
      <c r="V114" s="26">
        <v>0.13200000000000001</v>
      </c>
      <c r="W114" s="26">
        <v>1.54E-2</v>
      </c>
      <c r="X114" s="26">
        <v>0.13200000000000001</v>
      </c>
      <c r="Y114" s="26">
        <v>4.3999999999999997E-2</v>
      </c>
      <c r="Z114" s="26">
        <v>0.22</v>
      </c>
      <c r="AA114" s="26">
        <v>3.7400000000000003E-2</v>
      </c>
      <c r="AB114" s="26">
        <v>0.20569999999999999</v>
      </c>
      <c r="AC114" s="26">
        <v>1.32E-2</v>
      </c>
      <c r="AD114" s="26">
        <v>0.13200000000000001</v>
      </c>
      <c r="AE114" s="26">
        <v>3.8899999999999997E-2</v>
      </c>
      <c r="AF114" s="26">
        <v>0.2145</v>
      </c>
      <c r="AG114" s="26">
        <v>2.1999999999999999E-2</v>
      </c>
      <c r="AH114" s="26">
        <v>0.154</v>
      </c>
      <c r="AI114" s="26">
        <v>4.3999999999999997E-2</v>
      </c>
      <c r="AJ114" s="26">
        <v>0.22</v>
      </c>
      <c r="AK114" s="26">
        <v>2.1999999999999999E-2</v>
      </c>
      <c r="AL114" s="26">
        <v>0.154</v>
      </c>
      <c r="AM114" s="26"/>
      <c r="AN114" s="26" t="s">
        <v>800</v>
      </c>
      <c r="AO114" s="26">
        <v>22</v>
      </c>
      <c r="AP114" s="26">
        <v>28.6</v>
      </c>
      <c r="AQ114" s="26">
        <v>20000</v>
      </c>
      <c r="AR114" s="26"/>
      <c r="AS114" s="26">
        <v>0</v>
      </c>
      <c r="AT114" s="26">
        <v>0</v>
      </c>
      <c r="AU114" s="26"/>
      <c r="AV114" s="26"/>
      <c r="AW114" s="26"/>
      <c r="AX114" s="26">
        <v>0</v>
      </c>
      <c r="AY114" s="26">
        <v>0</v>
      </c>
      <c r="AZ114" s="26">
        <v>990</v>
      </c>
      <c r="BA114" s="26">
        <v>990</v>
      </c>
      <c r="BB114" s="26">
        <v>891</v>
      </c>
      <c r="BC114" s="26">
        <v>121</v>
      </c>
      <c r="BD114" s="26">
        <v>968</v>
      </c>
      <c r="BE114" s="26">
        <v>990</v>
      </c>
      <c r="BF114" s="26">
        <v>561</v>
      </c>
      <c r="BG114" s="26">
        <v>528</v>
      </c>
      <c r="BH114" s="26">
        <v>583</v>
      </c>
      <c r="BI114" s="26">
        <v>968</v>
      </c>
      <c r="BJ114" s="26">
        <v>990</v>
      </c>
      <c r="BK114" s="26">
        <v>968</v>
      </c>
      <c r="BL114" s="26" t="s">
        <v>247</v>
      </c>
      <c r="BM114" s="26" t="s">
        <v>801</v>
      </c>
      <c r="BN114" s="26" t="s">
        <v>802</v>
      </c>
      <c r="BO114" s="26">
        <v>6700</v>
      </c>
      <c r="BP114" s="26">
        <v>400000</v>
      </c>
      <c r="BQ114" s="26" t="s">
        <v>803</v>
      </c>
      <c r="BR114" s="26" t="s">
        <v>248</v>
      </c>
      <c r="BS114" s="26"/>
      <c r="BT114" s="26" t="s">
        <v>2</v>
      </c>
      <c r="BU114" s="26" t="s">
        <v>247</v>
      </c>
      <c r="BV114" s="26" t="s">
        <v>804</v>
      </c>
      <c r="BW114" s="26" t="s">
        <v>805</v>
      </c>
      <c r="BX114" s="26" t="s">
        <v>806</v>
      </c>
      <c r="BY114" s="26" t="s">
        <v>121</v>
      </c>
      <c r="BZ114" s="26" t="s">
        <v>566</v>
      </c>
      <c r="CA114" s="26" t="s">
        <v>2</v>
      </c>
      <c r="CB114" s="26" t="s">
        <v>2</v>
      </c>
      <c r="CC114" s="26" t="s">
        <v>2</v>
      </c>
      <c r="CD114" s="26" t="s">
        <v>3</v>
      </c>
      <c r="CE114" s="26" t="s">
        <v>807</v>
      </c>
      <c r="CF114" s="26" t="s">
        <v>808</v>
      </c>
      <c r="CG114" s="26" t="s">
        <v>55</v>
      </c>
      <c r="CH114" s="26" t="s">
        <v>134</v>
      </c>
      <c r="CI114" s="26"/>
      <c r="CJ114" s="26" t="s">
        <v>1778</v>
      </c>
      <c r="CK114" s="26" t="s">
        <v>1787</v>
      </c>
      <c r="CL114" s="26"/>
      <c r="CM114" s="26"/>
      <c r="CN114" s="26"/>
      <c r="CO114" s="26" t="s">
        <v>809</v>
      </c>
      <c r="CP114" s="26" t="s">
        <v>810</v>
      </c>
      <c r="CQ114" s="26" t="s">
        <v>811</v>
      </c>
      <c r="CR114" s="26" t="s">
        <v>812</v>
      </c>
      <c r="CS114" s="26"/>
      <c r="CT114" s="26"/>
      <c r="CU114" s="26">
        <v>0</v>
      </c>
      <c r="CV114" s="186" t="str">
        <f t="shared" si="19"/>
        <v>C3301ib</v>
      </c>
      <c r="CW114" s="186" t="str">
        <f t="shared" si="20"/>
        <v>Konica Minolta</v>
      </c>
      <c r="CX114" s="186" t="str">
        <f>IF(Data!D114="E","Entry",IF(Data!D114="L","Low",IF(Data!D114="M","Medium","High")))</f>
        <v>Medium</v>
      </c>
      <c r="CY114" s="187" t="str">
        <f t="shared" si="21"/>
        <v>SFP-Colour_Ko_M_1Y</v>
      </c>
    </row>
    <row r="115" spans="1:130" s="36" customFormat="1" ht="20.100000000000001" customHeight="1" x14ac:dyDescent="0.2">
      <c r="A115" s="26" t="s">
        <v>815</v>
      </c>
      <c r="B115" s="26" t="s">
        <v>440</v>
      </c>
      <c r="C115" s="16" t="s">
        <v>10</v>
      </c>
      <c r="D115" s="186" t="s">
        <v>433</v>
      </c>
      <c r="E115" s="186">
        <v>2</v>
      </c>
      <c r="F115" s="184" t="s">
        <v>438</v>
      </c>
      <c r="G115" s="186">
        <v>0</v>
      </c>
      <c r="H115" s="27" t="s">
        <v>899</v>
      </c>
      <c r="I115" s="186">
        <v>0</v>
      </c>
      <c r="J115" s="189">
        <v>0</v>
      </c>
      <c r="K115" s="189">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6">
        <v>0</v>
      </c>
      <c r="AC115" s="26">
        <v>0</v>
      </c>
      <c r="AD115" s="26">
        <v>0</v>
      </c>
      <c r="AE115" s="26">
        <v>0</v>
      </c>
      <c r="AF115" s="26">
        <v>0</v>
      </c>
      <c r="AG115" s="26">
        <v>0</v>
      </c>
      <c r="AH115" s="26">
        <v>0</v>
      </c>
      <c r="AI115" s="26">
        <v>0</v>
      </c>
      <c r="AJ115" s="26">
        <v>0</v>
      </c>
      <c r="AK115" s="26">
        <v>0</v>
      </c>
      <c r="AL115" s="26">
        <v>0</v>
      </c>
      <c r="AM115" s="26"/>
      <c r="AN115" s="26">
        <v>0</v>
      </c>
      <c r="AO115" s="26">
        <v>0</v>
      </c>
      <c r="AP115" s="26">
        <v>0</v>
      </c>
      <c r="AQ115" s="26">
        <v>0</v>
      </c>
      <c r="AR115" s="26"/>
      <c r="AS115" s="26">
        <v>0</v>
      </c>
      <c r="AT115" s="26">
        <v>0</v>
      </c>
      <c r="AU115" s="26"/>
      <c r="AV115" s="26"/>
      <c r="AW115" s="26"/>
      <c r="AX115" s="26">
        <v>0</v>
      </c>
      <c r="AY115" s="26">
        <v>0</v>
      </c>
      <c r="AZ115" s="26">
        <v>0</v>
      </c>
      <c r="BA115" s="26">
        <v>0</v>
      </c>
      <c r="BB115" s="26">
        <v>0</v>
      </c>
      <c r="BC115" s="26">
        <v>0</v>
      </c>
      <c r="BD115" s="26">
        <v>0</v>
      </c>
      <c r="BE115" s="26">
        <v>0</v>
      </c>
      <c r="BF115" s="26">
        <v>0</v>
      </c>
      <c r="BG115" s="26">
        <v>0</v>
      </c>
      <c r="BH115" s="26">
        <v>0</v>
      </c>
      <c r="BI115" s="26">
        <v>0</v>
      </c>
      <c r="BJ115" s="26">
        <v>0</v>
      </c>
      <c r="BK115" s="26">
        <v>0</v>
      </c>
      <c r="BL115" s="26">
        <v>0</v>
      </c>
      <c r="BM115" s="26">
        <v>0</v>
      </c>
      <c r="BN115" s="26">
        <v>0</v>
      </c>
      <c r="BO115" s="26">
        <v>0</v>
      </c>
      <c r="BP115" s="26">
        <v>0</v>
      </c>
      <c r="BQ115" s="26">
        <v>0</v>
      </c>
      <c r="BR115" s="26">
        <v>0</v>
      </c>
      <c r="BS115" s="26"/>
      <c r="BT115" s="26">
        <v>0</v>
      </c>
      <c r="BU115" s="26">
        <v>0</v>
      </c>
      <c r="BV115" s="26">
        <v>0</v>
      </c>
      <c r="BW115" s="26">
        <v>0</v>
      </c>
      <c r="BX115" s="26">
        <v>0</v>
      </c>
      <c r="BY115" s="26">
        <v>0</v>
      </c>
      <c r="BZ115" s="26">
        <v>0</v>
      </c>
      <c r="CA115" s="26">
        <v>0</v>
      </c>
      <c r="CB115" s="26">
        <v>0</v>
      </c>
      <c r="CC115" s="26">
        <v>0</v>
      </c>
      <c r="CD115" s="26">
        <v>0</v>
      </c>
      <c r="CE115" s="26">
        <v>0</v>
      </c>
      <c r="CF115" s="26">
        <v>0</v>
      </c>
      <c r="CG115" s="26">
        <v>0</v>
      </c>
      <c r="CH115" s="26">
        <v>0</v>
      </c>
      <c r="CI115" s="26"/>
      <c r="CJ115" s="26">
        <v>0</v>
      </c>
      <c r="CK115" s="26">
        <v>0</v>
      </c>
      <c r="CL115" s="26"/>
      <c r="CM115" s="26"/>
      <c r="CN115" s="26"/>
      <c r="CO115" s="26">
        <v>0</v>
      </c>
      <c r="CP115" s="26">
        <v>0</v>
      </c>
      <c r="CQ115" s="26">
        <v>0</v>
      </c>
      <c r="CR115" s="26">
        <v>0</v>
      </c>
      <c r="CS115" s="26"/>
      <c r="CT115" s="26"/>
      <c r="CU115" s="26">
        <v>0</v>
      </c>
      <c r="CV115" s="186">
        <f t="shared" si="19"/>
        <v>0</v>
      </c>
      <c r="CW115" s="186" t="str">
        <f t="shared" si="20"/>
        <v>Konica Minolta</v>
      </c>
      <c r="CX115" s="186" t="str">
        <f>IF(Data!D115="E","Entry",IF(Data!D115="L","Low",IF(Data!D115="M","Medium","High")))</f>
        <v>Medium</v>
      </c>
      <c r="CY115" s="187" t="str">
        <f t="shared" si="21"/>
        <v>SFP-Colour_Ko_M_2N</v>
      </c>
    </row>
    <row r="116" spans="1:130" s="36" customFormat="1" ht="20.100000000000001" customHeight="1" x14ac:dyDescent="0.2">
      <c r="A116" s="26" t="s">
        <v>816</v>
      </c>
      <c r="B116" s="26" t="s">
        <v>440</v>
      </c>
      <c r="C116" s="16" t="s">
        <v>10</v>
      </c>
      <c r="D116" s="186" t="s">
        <v>432</v>
      </c>
      <c r="E116" s="186">
        <v>1</v>
      </c>
      <c r="F116" s="186" t="s">
        <v>439</v>
      </c>
      <c r="G116" s="186" t="s">
        <v>2451</v>
      </c>
      <c r="H116" s="27" t="s">
        <v>2452</v>
      </c>
      <c r="I116" s="186">
        <v>40</v>
      </c>
      <c r="J116" s="189">
        <v>400000</v>
      </c>
      <c r="K116" s="189">
        <v>6667</v>
      </c>
      <c r="L116" s="284">
        <f>[1]Sheet1!C23*1.07</f>
        <v>1694.8816948800002</v>
      </c>
      <c r="M116" s="26">
        <v>7.1999999999999998E-3</v>
      </c>
      <c r="N116" s="26">
        <v>6.6000000000000003E-2</v>
      </c>
      <c r="O116" s="26">
        <v>4.3999999999999997E-2</v>
      </c>
      <c r="P116" s="26">
        <v>0.22</v>
      </c>
      <c r="Q116" s="26">
        <v>4.3999999999999997E-2</v>
      </c>
      <c r="R116" s="26">
        <v>0.22</v>
      </c>
      <c r="S116" s="26">
        <v>2.75E-2</v>
      </c>
      <c r="T116" s="26">
        <v>0.154</v>
      </c>
      <c r="U116" s="26">
        <v>1.32E-2</v>
      </c>
      <c r="V116" s="26">
        <v>0.13200000000000001</v>
      </c>
      <c r="W116" s="26">
        <v>1.54E-2</v>
      </c>
      <c r="X116" s="26">
        <v>0.13200000000000001</v>
      </c>
      <c r="Y116" s="26">
        <v>4.3999999999999997E-2</v>
      </c>
      <c r="Z116" s="26">
        <v>0.22</v>
      </c>
      <c r="AA116" s="26">
        <v>3.7400000000000003E-2</v>
      </c>
      <c r="AB116" s="26">
        <v>0.20569999999999999</v>
      </c>
      <c r="AC116" s="26">
        <v>1.32E-2</v>
      </c>
      <c r="AD116" s="26">
        <v>0.13200000000000001</v>
      </c>
      <c r="AE116" s="26">
        <v>3.8899999999999997E-2</v>
      </c>
      <c r="AF116" s="26">
        <v>0.2145</v>
      </c>
      <c r="AG116" s="26">
        <v>2.1999999999999999E-2</v>
      </c>
      <c r="AH116" s="26">
        <v>0.154</v>
      </c>
      <c r="AI116" s="26">
        <v>4.3999999999999997E-2</v>
      </c>
      <c r="AJ116" s="26">
        <v>0.22</v>
      </c>
      <c r="AK116" s="26">
        <v>2.1999999999999999E-2</v>
      </c>
      <c r="AL116" s="26">
        <v>0.154</v>
      </c>
      <c r="AM116" s="26"/>
      <c r="AN116" s="26" t="s">
        <v>800</v>
      </c>
      <c r="AO116" s="26">
        <v>22</v>
      </c>
      <c r="AP116" s="26">
        <v>28.6</v>
      </c>
      <c r="AQ116" s="26">
        <v>20000</v>
      </c>
      <c r="AR116" s="26"/>
      <c r="AS116" s="26">
        <v>0</v>
      </c>
      <c r="AT116" s="26">
        <v>0</v>
      </c>
      <c r="AU116" s="26"/>
      <c r="AV116" s="26"/>
      <c r="AW116" s="26"/>
      <c r="AX116" s="26">
        <v>0</v>
      </c>
      <c r="AY116" s="26">
        <v>0</v>
      </c>
      <c r="AZ116" s="26">
        <v>990</v>
      </c>
      <c r="BA116" s="26">
        <v>990</v>
      </c>
      <c r="BB116" s="26">
        <v>891</v>
      </c>
      <c r="BC116" s="26">
        <v>121</v>
      </c>
      <c r="BD116" s="26">
        <v>968</v>
      </c>
      <c r="BE116" s="26">
        <v>990</v>
      </c>
      <c r="BF116" s="26">
        <v>561</v>
      </c>
      <c r="BG116" s="26">
        <v>528</v>
      </c>
      <c r="BH116" s="26">
        <v>583</v>
      </c>
      <c r="BI116" s="26">
        <v>968</v>
      </c>
      <c r="BJ116" s="26">
        <v>990</v>
      </c>
      <c r="BK116" s="26">
        <v>968</v>
      </c>
      <c r="BL116" s="26" t="s">
        <v>247</v>
      </c>
      <c r="BM116" s="26" t="s">
        <v>801</v>
      </c>
      <c r="BN116" s="26" t="s">
        <v>802</v>
      </c>
      <c r="BO116" s="26">
        <v>6700</v>
      </c>
      <c r="BP116" s="26">
        <v>400000</v>
      </c>
      <c r="BQ116" s="26" t="s">
        <v>803</v>
      </c>
      <c r="BR116" s="26" t="s">
        <v>248</v>
      </c>
      <c r="BS116" s="26"/>
      <c r="BT116" s="26" t="s">
        <v>2</v>
      </c>
      <c r="BU116" s="26" t="s">
        <v>247</v>
      </c>
      <c r="BV116" s="26" t="s">
        <v>804</v>
      </c>
      <c r="BW116" s="26" t="s">
        <v>805</v>
      </c>
      <c r="BX116" s="26" t="s">
        <v>806</v>
      </c>
      <c r="BY116" s="26" t="s">
        <v>121</v>
      </c>
      <c r="BZ116" s="26" t="s">
        <v>566</v>
      </c>
      <c r="CA116" s="26" t="s">
        <v>2</v>
      </c>
      <c r="CB116" s="26" t="s">
        <v>2</v>
      </c>
      <c r="CC116" s="26" t="s">
        <v>2</v>
      </c>
      <c r="CD116" s="26" t="s">
        <v>3</v>
      </c>
      <c r="CE116" s="26" t="s">
        <v>807</v>
      </c>
      <c r="CF116" s="26" t="s">
        <v>808</v>
      </c>
      <c r="CG116" s="26" t="s">
        <v>55</v>
      </c>
      <c r="CH116" s="26" t="s">
        <v>134</v>
      </c>
      <c r="CI116" s="26"/>
      <c r="CJ116" s="26" t="s">
        <v>1778</v>
      </c>
      <c r="CK116" s="26" t="s">
        <v>1787</v>
      </c>
      <c r="CL116" s="26"/>
      <c r="CM116" s="26"/>
      <c r="CN116" s="26"/>
      <c r="CO116" s="26" t="s">
        <v>809</v>
      </c>
      <c r="CP116" s="26" t="s">
        <v>810</v>
      </c>
      <c r="CQ116" s="26" t="s">
        <v>811</v>
      </c>
      <c r="CR116" s="26" t="s">
        <v>812</v>
      </c>
      <c r="CS116" s="26"/>
      <c r="CT116" s="26"/>
      <c r="CU116" s="26">
        <v>0</v>
      </c>
      <c r="CV116" s="186" t="str">
        <f t="shared" si="19"/>
        <v>C4001ib</v>
      </c>
      <c r="CW116" s="186" t="str">
        <f t="shared" si="20"/>
        <v>Konica Minolta</v>
      </c>
      <c r="CX116" s="186" t="str">
        <f>IF(Data!D116="E","Entry",IF(Data!D116="L","Low",IF(Data!D116="M","Medium","High")))</f>
        <v>High</v>
      </c>
      <c r="CY116" s="187" t="str">
        <f t="shared" si="21"/>
        <v>SFP-Colour_Ko_H_1Y</v>
      </c>
    </row>
    <row r="117" spans="1:130" s="36" customFormat="1" ht="20.100000000000001" customHeight="1" x14ac:dyDescent="0.2">
      <c r="A117" s="26" t="s">
        <v>817</v>
      </c>
      <c r="B117" s="26" t="s">
        <v>440</v>
      </c>
      <c r="C117" s="16" t="s">
        <v>10</v>
      </c>
      <c r="D117" s="186" t="s">
        <v>432</v>
      </c>
      <c r="E117" s="186">
        <v>2</v>
      </c>
      <c r="F117" s="186" t="s">
        <v>439</v>
      </c>
      <c r="G117" s="186">
        <v>0</v>
      </c>
      <c r="H117" s="27" t="s">
        <v>899</v>
      </c>
      <c r="I117" s="186">
        <v>0</v>
      </c>
      <c r="J117" s="189">
        <v>0</v>
      </c>
      <c r="K117" s="189">
        <v>0</v>
      </c>
      <c r="L117" s="26">
        <v>0</v>
      </c>
      <c r="M117" s="26">
        <v>0</v>
      </c>
      <c r="N117" s="26">
        <v>0</v>
      </c>
      <c r="O117" s="26">
        <v>0</v>
      </c>
      <c r="P117" s="26">
        <v>0</v>
      </c>
      <c r="Q117" s="26">
        <v>0</v>
      </c>
      <c r="R117" s="26">
        <v>0</v>
      </c>
      <c r="S117" s="26">
        <v>0</v>
      </c>
      <c r="T117" s="26">
        <v>0</v>
      </c>
      <c r="U117" s="26">
        <v>0</v>
      </c>
      <c r="V117" s="26">
        <v>0</v>
      </c>
      <c r="W117" s="26">
        <v>0</v>
      </c>
      <c r="X117" s="26">
        <v>0</v>
      </c>
      <c r="Y117" s="26">
        <v>0</v>
      </c>
      <c r="Z117" s="26">
        <v>0</v>
      </c>
      <c r="AA117" s="26">
        <v>0</v>
      </c>
      <c r="AB117" s="26">
        <v>0</v>
      </c>
      <c r="AC117" s="26">
        <v>0</v>
      </c>
      <c r="AD117" s="26">
        <v>0</v>
      </c>
      <c r="AE117" s="26">
        <v>0</v>
      </c>
      <c r="AF117" s="26">
        <v>0</v>
      </c>
      <c r="AG117" s="26">
        <v>0</v>
      </c>
      <c r="AH117" s="26">
        <v>0</v>
      </c>
      <c r="AI117" s="26">
        <v>0</v>
      </c>
      <c r="AJ117" s="26">
        <v>0</v>
      </c>
      <c r="AK117" s="26">
        <v>0</v>
      </c>
      <c r="AL117" s="26">
        <v>0</v>
      </c>
      <c r="AM117" s="26"/>
      <c r="AN117" s="26">
        <v>0</v>
      </c>
      <c r="AO117" s="26">
        <v>0</v>
      </c>
      <c r="AP117" s="26">
        <v>0</v>
      </c>
      <c r="AQ117" s="26">
        <v>0</v>
      </c>
      <c r="AR117" s="26"/>
      <c r="AS117" s="26">
        <v>0</v>
      </c>
      <c r="AT117" s="26">
        <v>0</v>
      </c>
      <c r="AU117" s="26"/>
      <c r="AV117" s="26"/>
      <c r="AW117" s="26"/>
      <c r="AX117" s="26">
        <v>0</v>
      </c>
      <c r="AY117" s="26">
        <v>0</v>
      </c>
      <c r="AZ117" s="26">
        <v>0</v>
      </c>
      <c r="BA117" s="26">
        <v>0</v>
      </c>
      <c r="BB117" s="26">
        <v>0</v>
      </c>
      <c r="BC117" s="26">
        <v>0</v>
      </c>
      <c r="BD117" s="26">
        <v>0</v>
      </c>
      <c r="BE117" s="26">
        <v>0</v>
      </c>
      <c r="BF117" s="26">
        <v>0</v>
      </c>
      <c r="BG117" s="26">
        <v>0</v>
      </c>
      <c r="BH117" s="26">
        <v>0</v>
      </c>
      <c r="BI117" s="26">
        <v>0</v>
      </c>
      <c r="BJ117" s="26">
        <v>0</v>
      </c>
      <c r="BK117" s="26">
        <v>0</v>
      </c>
      <c r="BL117" s="26">
        <v>0</v>
      </c>
      <c r="BM117" s="26">
        <v>0</v>
      </c>
      <c r="BN117" s="26">
        <v>0</v>
      </c>
      <c r="BO117" s="26">
        <v>0</v>
      </c>
      <c r="BP117" s="26">
        <v>0</v>
      </c>
      <c r="BQ117" s="26">
        <v>0</v>
      </c>
      <c r="BR117" s="26">
        <v>0</v>
      </c>
      <c r="BS117" s="26"/>
      <c r="BT117" s="26">
        <v>0</v>
      </c>
      <c r="BU117" s="26">
        <v>0</v>
      </c>
      <c r="BV117" s="26">
        <v>0</v>
      </c>
      <c r="BW117" s="26">
        <v>0</v>
      </c>
      <c r="BX117" s="26">
        <v>0</v>
      </c>
      <c r="BY117" s="26">
        <v>0</v>
      </c>
      <c r="BZ117" s="26">
        <v>0</v>
      </c>
      <c r="CA117" s="26">
        <v>0</v>
      </c>
      <c r="CB117" s="26">
        <v>0</v>
      </c>
      <c r="CC117" s="26">
        <v>0</v>
      </c>
      <c r="CD117" s="26">
        <v>0</v>
      </c>
      <c r="CE117" s="26">
        <v>0</v>
      </c>
      <c r="CF117" s="26">
        <v>0</v>
      </c>
      <c r="CG117" s="26">
        <v>0</v>
      </c>
      <c r="CH117" s="26">
        <v>0</v>
      </c>
      <c r="CI117" s="26"/>
      <c r="CJ117" s="26">
        <v>0</v>
      </c>
      <c r="CK117" s="26">
        <v>0</v>
      </c>
      <c r="CL117" s="26"/>
      <c r="CM117" s="26"/>
      <c r="CN117" s="26"/>
      <c r="CO117" s="26">
        <v>0</v>
      </c>
      <c r="CP117" s="26">
        <v>0</v>
      </c>
      <c r="CQ117" s="26">
        <v>0</v>
      </c>
      <c r="CR117" s="26">
        <v>0</v>
      </c>
      <c r="CS117" s="26"/>
      <c r="CT117" s="26"/>
      <c r="CU117" s="26">
        <v>0</v>
      </c>
      <c r="CV117" s="186">
        <f t="shared" si="19"/>
        <v>0</v>
      </c>
      <c r="CW117" s="186" t="str">
        <f t="shared" si="20"/>
        <v>Konica Minolta</v>
      </c>
      <c r="CX117" s="186" t="str">
        <f>IF(Data!D117="E","Entry",IF(Data!D117="L","Low",IF(Data!D117="M","Medium","High")))</f>
        <v>High</v>
      </c>
      <c r="CY117" s="187" t="str">
        <f t="shared" si="21"/>
        <v>SFP-Colour_Ko_H_2N</v>
      </c>
    </row>
    <row r="118" spans="1:130" ht="20.100000000000001" customHeight="1" x14ac:dyDescent="0.2">
      <c r="A118" s="26" t="s">
        <v>818</v>
      </c>
      <c r="B118" s="26" t="s">
        <v>440</v>
      </c>
      <c r="C118" s="16" t="s">
        <v>7</v>
      </c>
      <c r="D118" s="186" t="s">
        <v>435</v>
      </c>
      <c r="E118" s="186">
        <v>1</v>
      </c>
      <c r="F118" s="184" t="s">
        <v>437</v>
      </c>
      <c r="G118" s="186">
        <v>0</v>
      </c>
      <c r="H118" s="186" t="s">
        <v>899</v>
      </c>
      <c r="I118" s="186">
        <v>0</v>
      </c>
      <c r="J118" s="189">
        <v>0</v>
      </c>
      <c r="K118" s="189">
        <v>0</v>
      </c>
      <c r="L118" s="26">
        <v>0</v>
      </c>
      <c r="M118" s="26">
        <v>0</v>
      </c>
      <c r="N118" s="26"/>
      <c r="O118" s="26">
        <v>0</v>
      </c>
      <c r="P118" s="26"/>
      <c r="Q118" s="26">
        <v>0</v>
      </c>
      <c r="R118" s="26"/>
      <c r="S118" s="26">
        <v>0</v>
      </c>
      <c r="T118" s="26"/>
      <c r="U118" s="26">
        <v>0</v>
      </c>
      <c r="V118" s="26"/>
      <c r="W118" s="26">
        <v>0</v>
      </c>
      <c r="X118" s="26"/>
      <c r="Y118" s="26">
        <v>0</v>
      </c>
      <c r="Z118" s="26"/>
      <c r="AA118" s="26">
        <v>0</v>
      </c>
      <c r="AB118" s="26"/>
      <c r="AC118" s="26">
        <v>0</v>
      </c>
      <c r="AD118" s="26"/>
      <c r="AE118" s="26">
        <v>0</v>
      </c>
      <c r="AF118" s="26"/>
      <c r="AG118" s="26">
        <v>0</v>
      </c>
      <c r="AH118" s="26"/>
      <c r="AI118" s="26">
        <v>0</v>
      </c>
      <c r="AJ118" s="26"/>
      <c r="AK118" s="26">
        <v>0</v>
      </c>
      <c r="AL118" s="26"/>
      <c r="AM118" s="26">
        <v>0</v>
      </c>
      <c r="AN118" s="26">
        <v>0</v>
      </c>
      <c r="AO118" s="26">
        <v>0</v>
      </c>
      <c r="AP118" s="26" t="s">
        <v>1250</v>
      </c>
      <c r="AQ118" s="26">
        <v>0</v>
      </c>
      <c r="AR118" s="26">
        <v>0</v>
      </c>
      <c r="AS118" s="26">
        <v>0</v>
      </c>
      <c r="AT118" s="26">
        <v>0</v>
      </c>
      <c r="AU118" s="26"/>
      <c r="AV118" s="26"/>
      <c r="AW118" s="26"/>
      <c r="AX118" s="26">
        <v>0</v>
      </c>
      <c r="AY118" s="26">
        <v>0</v>
      </c>
      <c r="AZ118" s="26">
        <v>0</v>
      </c>
      <c r="BA118" s="26">
        <v>0</v>
      </c>
      <c r="BB118" s="26">
        <v>0</v>
      </c>
      <c r="BC118" s="26">
        <v>0</v>
      </c>
      <c r="BD118" s="26">
        <v>0</v>
      </c>
      <c r="BE118" s="26">
        <v>0</v>
      </c>
      <c r="BF118" s="26">
        <v>0</v>
      </c>
      <c r="BG118" s="26">
        <v>0</v>
      </c>
      <c r="BH118" s="26">
        <v>0</v>
      </c>
      <c r="BI118" s="26">
        <v>0</v>
      </c>
      <c r="BJ118" s="26">
        <v>0</v>
      </c>
      <c r="BK118" s="26">
        <v>0</v>
      </c>
      <c r="BL118" s="26">
        <v>0</v>
      </c>
      <c r="BM118" s="26">
        <v>0</v>
      </c>
      <c r="BN118" s="26">
        <v>0</v>
      </c>
      <c r="BO118" s="26">
        <v>0</v>
      </c>
      <c r="BP118" s="26">
        <v>0</v>
      </c>
      <c r="BQ118" s="26">
        <v>0</v>
      </c>
      <c r="BR118" s="26">
        <v>0</v>
      </c>
      <c r="BS118" s="26"/>
      <c r="BT118" s="26">
        <v>0</v>
      </c>
      <c r="BU118" s="26">
        <v>0</v>
      </c>
      <c r="BV118" s="26">
        <v>0</v>
      </c>
      <c r="BW118" s="26">
        <v>0</v>
      </c>
      <c r="BX118" s="26">
        <v>0</v>
      </c>
      <c r="BY118" s="26">
        <v>0</v>
      </c>
      <c r="BZ118" s="26">
        <v>0</v>
      </c>
      <c r="CA118" s="26">
        <v>0</v>
      </c>
      <c r="CB118" s="26">
        <v>0</v>
      </c>
      <c r="CC118" s="26">
        <v>0</v>
      </c>
      <c r="CD118" s="26">
        <v>0</v>
      </c>
      <c r="CE118" s="26">
        <v>0</v>
      </c>
      <c r="CF118" s="26">
        <v>0</v>
      </c>
      <c r="CG118" s="26">
        <v>0</v>
      </c>
      <c r="CH118" s="26">
        <v>0</v>
      </c>
      <c r="CI118" s="26"/>
      <c r="CJ118" s="26">
        <v>0</v>
      </c>
      <c r="CK118" s="26">
        <v>0</v>
      </c>
      <c r="CL118" s="26"/>
      <c r="CM118" s="26"/>
      <c r="CN118" s="26"/>
      <c r="CO118" s="26">
        <v>0</v>
      </c>
      <c r="CP118" s="26">
        <v>0</v>
      </c>
      <c r="CQ118" s="26">
        <v>0</v>
      </c>
      <c r="CR118" s="26">
        <v>0</v>
      </c>
      <c r="CS118" s="26"/>
      <c r="CT118" s="26"/>
      <c r="CU118" s="26">
        <v>0</v>
      </c>
      <c r="CV118" s="186">
        <v>0</v>
      </c>
      <c r="CW118" s="186" t="s">
        <v>7</v>
      </c>
      <c r="CX118" s="186" t="s">
        <v>890</v>
      </c>
      <c r="CY118" s="187" t="str">
        <f t="shared" si="21"/>
        <v>SFP-Colour_Ky_L_1N</v>
      </c>
    </row>
    <row r="119" spans="1:130" ht="20.100000000000001" customHeight="1" x14ac:dyDescent="0.2">
      <c r="A119" s="26" t="s">
        <v>819</v>
      </c>
      <c r="B119" s="26" t="s">
        <v>440</v>
      </c>
      <c r="C119" s="16" t="s">
        <v>7</v>
      </c>
      <c r="D119" s="186" t="s">
        <v>435</v>
      </c>
      <c r="E119" s="186">
        <v>2</v>
      </c>
      <c r="F119" s="184" t="s">
        <v>437</v>
      </c>
      <c r="G119" s="186" t="s">
        <v>820</v>
      </c>
      <c r="H119" s="186" t="s">
        <v>821</v>
      </c>
      <c r="I119" s="186">
        <v>26</v>
      </c>
      <c r="J119" s="189">
        <v>100000</v>
      </c>
      <c r="K119" s="189">
        <v>2000</v>
      </c>
      <c r="L119" s="26">
        <v>444.4</v>
      </c>
      <c r="M119" s="26">
        <v>5.5E-2</v>
      </c>
      <c r="N119" s="26">
        <v>0.22</v>
      </c>
      <c r="O119" s="26">
        <v>6.2920000000000004E-2</v>
      </c>
      <c r="P119" s="26">
        <v>0.46012999999999998</v>
      </c>
      <c r="Q119" s="26">
        <v>6.2920000000000004E-2</v>
      </c>
      <c r="R119" s="26">
        <v>0.46012999999999998</v>
      </c>
      <c r="S119" s="26">
        <v>6.2920000000000004E-2</v>
      </c>
      <c r="T119" s="26">
        <v>0.46012999999999998</v>
      </c>
      <c r="U119" s="26">
        <v>6.2920000000000004E-2</v>
      </c>
      <c r="V119" s="26">
        <v>0.46012999999999998</v>
      </c>
      <c r="W119" s="26">
        <v>5.5E-2</v>
      </c>
      <c r="X119" s="26">
        <v>0.22</v>
      </c>
      <c r="Y119" s="26">
        <v>6.2920000000000004E-2</v>
      </c>
      <c r="Z119" s="26">
        <v>0.46012999999999998</v>
      </c>
      <c r="AA119" s="26">
        <v>6.2920000000000004E-2</v>
      </c>
      <c r="AB119" s="26">
        <v>0.46012999999999998</v>
      </c>
      <c r="AC119" s="26">
        <v>6.2920000000000004E-2</v>
      </c>
      <c r="AD119" s="26">
        <v>0.46012999999999998</v>
      </c>
      <c r="AE119" s="26">
        <v>6.2920000000000004E-2</v>
      </c>
      <c r="AF119" s="26">
        <v>0.46012999999999998</v>
      </c>
      <c r="AG119" s="26">
        <v>3.3000000000000002E-2</v>
      </c>
      <c r="AH119" s="26">
        <v>0.23100000000000001</v>
      </c>
      <c r="AI119" s="26">
        <v>6.2920000000000004E-2</v>
      </c>
      <c r="AJ119" s="26">
        <v>0.46012999999999998</v>
      </c>
      <c r="AK119" s="26">
        <v>3.3000000000000002E-2</v>
      </c>
      <c r="AL119" s="26">
        <v>0.23100000000000001</v>
      </c>
      <c r="AM119" s="26" t="s">
        <v>822</v>
      </c>
      <c r="AN119" s="26" t="s">
        <v>823</v>
      </c>
      <c r="AO119" s="26">
        <v>114.07</v>
      </c>
      <c r="AP119" s="26">
        <v>169.24</v>
      </c>
      <c r="AQ119" s="26" t="s">
        <v>237</v>
      </c>
      <c r="AR119" s="26">
        <v>0</v>
      </c>
      <c r="AS119" s="26">
        <v>100000</v>
      </c>
      <c r="AT119" s="26">
        <v>0</v>
      </c>
      <c r="AU119" s="26"/>
      <c r="AV119" s="26"/>
      <c r="AW119" s="26"/>
      <c r="AX119" s="26">
        <v>0</v>
      </c>
      <c r="AY119" s="26">
        <v>0</v>
      </c>
      <c r="AZ119" s="26">
        <v>88</v>
      </c>
      <c r="BA119" s="26">
        <v>594</v>
      </c>
      <c r="BB119" s="26">
        <v>66</v>
      </c>
      <c r="BC119" s="26">
        <v>132</v>
      </c>
      <c r="BD119" s="26">
        <v>66</v>
      </c>
      <c r="BE119" s="26">
        <v>110</v>
      </c>
      <c r="BF119" s="26">
        <v>330</v>
      </c>
      <c r="BG119" s="26">
        <v>110</v>
      </c>
      <c r="BH119" s="26">
        <v>594</v>
      </c>
      <c r="BI119" s="26">
        <v>132</v>
      </c>
      <c r="BJ119" s="26">
        <v>132</v>
      </c>
      <c r="BK119" s="26">
        <v>132</v>
      </c>
      <c r="BL119" s="26" t="s">
        <v>247</v>
      </c>
      <c r="BM119" s="26">
        <v>9.5</v>
      </c>
      <c r="BN119" s="26">
        <v>29</v>
      </c>
      <c r="BO119" s="26">
        <v>1500</v>
      </c>
      <c r="BP119" s="26">
        <v>100000</v>
      </c>
      <c r="BQ119" s="26">
        <v>49</v>
      </c>
      <c r="BR119" s="26" t="s">
        <v>248</v>
      </c>
      <c r="BS119" s="26"/>
      <c r="BT119" s="26" t="s">
        <v>2</v>
      </c>
      <c r="BU119" s="26" t="s">
        <v>247</v>
      </c>
      <c r="BV119" s="26" t="s">
        <v>250</v>
      </c>
      <c r="BW119" s="26">
        <v>300</v>
      </c>
      <c r="BX119" s="26">
        <v>800</v>
      </c>
      <c r="BY119" s="26">
        <v>50</v>
      </c>
      <c r="BZ119" s="26" t="s">
        <v>0</v>
      </c>
      <c r="CA119" s="26" t="s">
        <v>2</v>
      </c>
      <c r="CB119" s="26" t="s">
        <v>2</v>
      </c>
      <c r="CC119" s="26" t="s">
        <v>2</v>
      </c>
      <c r="CD119" s="26" t="s">
        <v>3</v>
      </c>
      <c r="CE119" s="26" t="s">
        <v>0</v>
      </c>
      <c r="CF119" s="26">
        <v>375</v>
      </c>
      <c r="CG119" s="26">
        <v>24</v>
      </c>
      <c r="CH119" s="26" t="s">
        <v>824</v>
      </c>
      <c r="CI119" s="26"/>
      <c r="CJ119" s="26" t="s">
        <v>2</v>
      </c>
      <c r="CK119" s="26" t="s">
        <v>0</v>
      </c>
      <c r="CL119" s="26"/>
      <c r="CM119" s="26"/>
      <c r="CN119" s="26"/>
      <c r="CO119" s="26" t="s">
        <v>255</v>
      </c>
      <c r="CP119" s="26" t="s">
        <v>742</v>
      </c>
      <c r="CQ119" s="26" t="s">
        <v>257</v>
      </c>
      <c r="CR119" s="26" t="s">
        <v>258</v>
      </c>
      <c r="CS119" s="26"/>
      <c r="CT119" s="26"/>
      <c r="CU119" s="26">
        <v>0</v>
      </c>
      <c r="CV119" s="186" t="str">
        <f t="shared" si="19"/>
        <v>1102RC3AS0</v>
      </c>
      <c r="CW119" s="186" t="str">
        <f t="shared" si="20"/>
        <v>Kyocera</v>
      </c>
      <c r="CX119" s="186" t="str">
        <f>IF(Data!D119="E","Entry",IF(Data!D119="L","Low",IF(Data!D119="M","Medium","High")))</f>
        <v>Low</v>
      </c>
      <c r="CY119" s="187" t="str">
        <f t="shared" si="21"/>
        <v>SFP-Colour_Ky_L_2Y</v>
      </c>
    </row>
    <row r="120" spans="1:130" ht="20.100000000000001" customHeight="1" x14ac:dyDescent="0.2">
      <c r="A120" s="25" t="s">
        <v>825</v>
      </c>
      <c r="B120" s="25" t="s">
        <v>440</v>
      </c>
      <c r="C120" s="238" t="s">
        <v>7</v>
      </c>
      <c r="D120" s="199" t="s">
        <v>433</v>
      </c>
      <c r="E120" s="199">
        <v>1</v>
      </c>
      <c r="F120" s="203" t="s">
        <v>438</v>
      </c>
      <c r="G120" s="238" t="s">
        <v>2278</v>
      </c>
      <c r="H120" s="299" t="s">
        <v>2389</v>
      </c>
      <c r="I120" s="199">
        <v>35</v>
      </c>
      <c r="J120" s="204">
        <v>600000</v>
      </c>
      <c r="K120" s="204">
        <v>15000</v>
      </c>
      <c r="L120" s="25">
        <v>646.79999999999995</v>
      </c>
      <c r="M120" s="25">
        <v>2.002E-2</v>
      </c>
      <c r="N120" s="25">
        <v>0.1265</v>
      </c>
      <c r="O120" s="25">
        <v>2.4199999999999999E-2</v>
      </c>
      <c r="P120" s="25">
        <v>0.154</v>
      </c>
      <c r="Q120" s="25">
        <v>6.6000000000000003E-2</v>
      </c>
      <c r="R120" s="25">
        <v>0.41799999999999998</v>
      </c>
      <c r="S120" s="25">
        <v>2.4199999999999999E-2</v>
      </c>
      <c r="T120" s="25">
        <v>0.154</v>
      </c>
      <c r="U120" s="25">
        <v>3.5200000000000002E-2</v>
      </c>
      <c r="V120" s="25">
        <v>0.19800000000000001</v>
      </c>
      <c r="W120" s="25">
        <v>2.4199999999999999E-2</v>
      </c>
      <c r="X120" s="25">
        <v>0.154</v>
      </c>
      <c r="Y120" s="25">
        <v>2.86E-2</v>
      </c>
      <c r="Z120" s="25">
        <v>0.17599999999999999</v>
      </c>
      <c r="AA120" s="25">
        <v>4.3999999999999997E-2</v>
      </c>
      <c r="AB120" s="25">
        <v>0.20899999999999999</v>
      </c>
      <c r="AC120" s="25">
        <v>2.86E-2</v>
      </c>
      <c r="AD120" s="25">
        <v>0.17599999999999999</v>
      </c>
      <c r="AE120" s="25">
        <v>6.6000000000000003E-2</v>
      </c>
      <c r="AF120" s="25">
        <v>0.41799999999999998</v>
      </c>
      <c r="AG120" s="25">
        <v>3.3000000000000002E-2</v>
      </c>
      <c r="AH120" s="25">
        <v>0.19800000000000001</v>
      </c>
      <c r="AI120" s="25">
        <v>3.5200000000000002E-2</v>
      </c>
      <c r="AJ120" s="25">
        <v>0.19800000000000001</v>
      </c>
      <c r="AK120" s="25">
        <v>3.3000000000000002E-2</v>
      </c>
      <c r="AL120" s="25">
        <v>0.19800000000000001</v>
      </c>
      <c r="AM120" s="25" t="s">
        <v>2390</v>
      </c>
      <c r="AN120" s="25" t="s">
        <v>2391</v>
      </c>
      <c r="AO120" s="25">
        <v>187</v>
      </c>
      <c r="AP120" s="25">
        <v>215.05</v>
      </c>
      <c r="AQ120" s="25" t="s">
        <v>237</v>
      </c>
      <c r="AR120" s="25">
        <v>0</v>
      </c>
      <c r="AS120" s="25" t="s">
        <v>2392</v>
      </c>
      <c r="AT120" s="25">
        <v>448.8</v>
      </c>
      <c r="AU120" s="25"/>
      <c r="AV120" s="25"/>
      <c r="AW120" s="25"/>
      <c r="AX120" s="25">
        <v>0</v>
      </c>
      <c r="AY120" s="25">
        <v>0</v>
      </c>
      <c r="AZ120" s="25">
        <v>99</v>
      </c>
      <c r="BA120" s="25">
        <v>594</v>
      </c>
      <c r="BB120" s="25">
        <v>77</v>
      </c>
      <c r="BC120" s="25">
        <v>143</v>
      </c>
      <c r="BD120" s="25">
        <v>77</v>
      </c>
      <c r="BE120" s="25">
        <v>121</v>
      </c>
      <c r="BF120" s="25">
        <v>330</v>
      </c>
      <c r="BG120" s="25">
        <v>121</v>
      </c>
      <c r="BH120" s="25">
        <v>594</v>
      </c>
      <c r="BI120" s="25">
        <v>132</v>
      </c>
      <c r="BJ120" s="25">
        <v>143</v>
      </c>
      <c r="BK120" s="25">
        <v>132</v>
      </c>
      <c r="BL120" s="25" t="s">
        <v>247</v>
      </c>
      <c r="BM120" s="25">
        <v>6</v>
      </c>
      <c r="BN120" s="25">
        <v>26</v>
      </c>
      <c r="BO120" s="25">
        <v>5000</v>
      </c>
      <c r="BP120" s="25">
        <v>600000</v>
      </c>
      <c r="BQ120" s="25">
        <v>53</v>
      </c>
      <c r="BR120" s="25" t="s">
        <v>248</v>
      </c>
      <c r="BS120" s="25"/>
      <c r="BT120" s="25" t="s">
        <v>2</v>
      </c>
      <c r="BU120" s="25" t="s">
        <v>247</v>
      </c>
      <c r="BV120" s="25" t="s">
        <v>250</v>
      </c>
      <c r="BW120" s="25">
        <v>600</v>
      </c>
      <c r="BX120" s="25">
        <v>2100</v>
      </c>
      <c r="BY120" s="25">
        <v>100</v>
      </c>
      <c r="BZ120" s="25" t="s">
        <v>0</v>
      </c>
      <c r="CA120" s="25" t="s">
        <v>2</v>
      </c>
      <c r="CB120" s="25" t="s">
        <v>2</v>
      </c>
      <c r="CC120" s="25" t="s">
        <v>2</v>
      </c>
      <c r="CD120" s="25" t="s">
        <v>3</v>
      </c>
      <c r="CE120" s="25" t="s">
        <v>0</v>
      </c>
      <c r="CF120" s="25">
        <v>496.4</v>
      </c>
      <c r="CG120" s="25">
        <v>24</v>
      </c>
      <c r="CH120" s="25" t="s">
        <v>134</v>
      </c>
      <c r="CI120" s="25"/>
      <c r="CJ120" s="25" t="s">
        <v>2</v>
      </c>
      <c r="CK120" s="25" t="s">
        <v>0</v>
      </c>
      <c r="CL120" s="25"/>
      <c r="CM120" s="25"/>
      <c r="CN120" s="25"/>
      <c r="CO120" s="25" t="s">
        <v>255</v>
      </c>
      <c r="CP120" s="25" t="s">
        <v>742</v>
      </c>
      <c r="CQ120" s="25" t="s">
        <v>257</v>
      </c>
      <c r="CR120" s="25" t="s">
        <v>258</v>
      </c>
      <c r="CS120" s="25"/>
      <c r="CT120" s="25"/>
      <c r="CU120" s="25">
        <v>0</v>
      </c>
      <c r="CV120" s="199" t="str">
        <f t="shared" si="19"/>
        <v>1102YJ3AU0</v>
      </c>
      <c r="CW120" s="199" t="str">
        <f t="shared" si="20"/>
        <v>Kyocera</v>
      </c>
      <c r="CX120" s="199" t="str">
        <f>IF(Data!D120="E","Entry",IF(Data!D120="L","Low",IF(Data!D120="M","Medium","High")))</f>
        <v>Medium</v>
      </c>
      <c r="CY120" s="206" t="str">
        <f t="shared" si="21"/>
        <v>SFP-Colour_Ky_M_1Y</v>
      </c>
    </row>
    <row r="121" spans="1:130" s="36" customFormat="1" ht="20.100000000000001" customHeight="1" x14ac:dyDescent="0.2">
      <c r="A121" s="258" t="s">
        <v>826</v>
      </c>
      <c r="B121" s="258" t="s">
        <v>440</v>
      </c>
      <c r="C121" s="259" t="s">
        <v>7</v>
      </c>
      <c r="D121" s="260" t="s">
        <v>433</v>
      </c>
      <c r="E121" s="260">
        <v>2</v>
      </c>
      <c r="F121" s="261" t="s">
        <v>438</v>
      </c>
      <c r="G121" s="186">
        <v>0</v>
      </c>
      <c r="H121" s="27" t="s">
        <v>899</v>
      </c>
      <c r="I121" s="186">
        <v>0</v>
      </c>
      <c r="J121" s="189">
        <v>0</v>
      </c>
      <c r="K121" s="189">
        <v>0</v>
      </c>
      <c r="L121" s="26">
        <v>0</v>
      </c>
      <c r="M121" s="26">
        <v>0</v>
      </c>
      <c r="N121" s="26"/>
      <c r="O121" s="26">
        <v>0</v>
      </c>
      <c r="P121" s="26"/>
      <c r="Q121" s="26">
        <v>0</v>
      </c>
      <c r="R121" s="26"/>
      <c r="S121" s="26">
        <v>0</v>
      </c>
      <c r="T121" s="26"/>
      <c r="U121" s="26">
        <v>0</v>
      </c>
      <c r="V121" s="26"/>
      <c r="W121" s="26">
        <v>0</v>
      </c>
      <c r="X121" s="26"/>
      <c r="Y121" s="26">
        <v>0</v>
      </c>
      <c r="Z121" s="26"/>
      <c r="AA121" s="26">
        <v>0</v>
      </c>
      <c r="AB121" s="26"/>
      <c r="AC121" s="26">
        <v>0</v>
      </c>
      <c r="AD121" s="26"/>
      <c r="AE121" s="26">
        <v>0</v>
      </c>
      <c r="AF121" s="26"/>
      <c r="AG121" s="26">
        <v>0</v>
      </c>
      <c r="AH121" s="26"/>
      <c r="AI121" s="26">
        <v>0</v>
      </c>
      <c r="AJ121" s="26"/>
      <c r="AK121" s="26">
        <v>0</v>
      </c>
      <c r="AL121" s="26"/>
      <c r="AM121" s="26">
        <v>0</v>
      </c>
      <c r="AN121" s="26">
        <v>0</v>
      </c>
      <c r="AO121" s="26">
        <v>0</v>
      </c>
      <c r="AP121" s="26" t="s">
        <v>1250</v>
      </c>
      <c r="AQ121" s="26">
        <v>0</v>
      </c>
      <c r="AR121" s="26">
        <v>0</v>
      </c>
      <c r="AS121" s="26">
        <v>0</v>
      </c>
      <c r="AT121" s="26">
        <v>0</v>
      </c>
      <c r="AU121" s="26"/>
      <c r="AV121" s="26"/>
      <c r="AW121" s="26"/>
      <c r="AX121" s="26">
        <v>0</v>
      </c>
      <c r="AY121" s="26">
        <v>0</v>
      </c>
      <c r="AZ121" s="26">
        <v>0</v>
      </c>
      <c r="BA121" s="26">
        <v>0</v>
      </c>
      <c r="BB121" s="26">
        <v>0</v>
      </c>
      <c r="BC121" s="26">
        <v>0</v>
      </c>
      <c r="BD121" s="26">
        <v>0</v>
      </c>
      <c r="BE121" s="26">
        <v>0</v>
      </c>
      <c r="BF121" s="26">
        <v>0</v>
      </c>
      <c r="BG121" s="26">
        <v>0</v>
      </c>
      <c r="BH121" s="26">
        <v>0</v>
      </c>
      <c r="BI121" s="26">
        <v>0</v>
      </c>
      <c r="BJ121" s="26">
        <v>0</v>
      </c>
      <c r="BK121" s="26">
        <v>0</v>
      </c>
      <c r="BL121" s="26">
        <v>0</v>
      </c>
      <c r="BM121" s="26">
        <v>0</v>
      </c>
      <c r="BN121" s="26">
        <v>0</v>
      </c>
      <c r="BO121" s="26">
        <v>0</v>
      </c>
      <c r="BP121" s="26">
        <v>0</v>
      </c>
      <c r="BQ121" s="26">
        <v>0</v>
      </c>
      <c r="BR121" s="26">
        <v>0</v>
      </c>
      <c r="BS121" s="26"/>
      <c r="BT121" s="26">
        <v>0</v>
      </c>
      <c r="BU121" s="26">
        <v>0</v>
      </c>
      <c r="BV121" s="26">
        <v>0</v>
      </c>
      <c r="BW121" s="26">
        <v>0</v>
      </c>
      <c r="BX121" s="26">
        <v>0</v>
      </c>
      <c r="BY121" s="26">
        <v>0</v>
      </c>
      <c r="BZ121" s="26">
        <v>0</v>
      </c>
      <c r="CA121" s="26">
        <v>0</v>
      </c>
      <c r="CB121" s="26">
        <v>0</v>
      </c>
      <c r="CC121" s="26">
        <v>0</v>
      </c>
      <c r="CD121" s="26">
        <v>0</v>
      </c>
      <c r="CE121" s="26">
        <v>0</v>
      </c>
      <c r="CF121" s="26">
        <v>0</v>
      </c>
      <c r="CG121" s="26">
        <v>0</v>
      </c>
      <c r="CH121" s="26">
        <v>0</v>
      </c>
      <c r="CI121" s="26"/>
      <c r="CJ121" s="26">
        <v>0</v>
      </c>
      <c r="CK121" s="26">
        <v>0</v>
      </c>
      <c r="CL121" s="26"/>
      <c r="CM121" s="26"/>
      <c r="CN121" s="26"/>
      <c r="CO121" s="26">
        <v>0</v>
      </c>
      <c r="CP121" s="26">
        <v>0</v>
      </c>
      <c r="CQ121" s="26">
        <v>0</v>
      </c>
      <c r="CR121" s="26">
        <v>0</v>
      </c>
      <c r="CS121" s="26"/>
      <c r="CT121" s="26"/>
      <c r="CU121" s="26">
        <v>0</v>
      </c>
      <c r="CV121" s="186">
        <v>0</v>
      </c>
      <c r="CW121" s="260" t="str">
        <f t="shared" si="20"/>
        <v>Kyocera</v>
      </c>
      <c r="CX121" s="260" t="str">
        <f>IF(Data!D121="E","Entry",IF(Data!D121="L","Low",IF(Data!D121="M","Medium","High")))</f>
        <v>Medium</v>
      </c>
      <c r="CY121" s="262" t="str">
        <f t="shared" si="21"/>
        <v>SFP-Colour_Ky_M_2N</v>
      </c>
    </row>
    <row r="122" spans="1:130" ht="20.100000000000001" customHeight="1" x14ac:dyDescent="0.2">
      <c r="A122" s="26" t="s">
        <v>827</v>
      </c>
      <c r="B122" s="26" t="s">
        <v>440</v>
      </c>
      <c r="C122" s="16" t="s">
        <v>7</v>
      </c>
      <c r="D122" s="186" t="s">
        <v>432</v>
      </c>
      <c r="E122" s="186">
        <v>1</v>
      </c>
      <c r="F122" s="186" t="s">
        <v>439</v>
      </c>
      <c r="G122" s="186">
        <v>0</v>
      </c>
      <c r="H122" s="186" t="s">
        <v>899</v>
      </c>
      <c r="I122" s="186">
        <v>0</v>
      </c>
      <c r="J122" s="189">
        <v>0</v>
      </c>
      <c r="K122" s="189">
        <v>0</v>
      </c>
      <c r="L122" s="26">
        <v>0</v>
      </c>
      <c r="M122" s="26">
        <v>0</v>
      </c>
      <c r="N122" s="26"/>
      <c r="O122" s="26">
        <v>0</v>
      </c>
      <c r="P122" s="26"/>
      <c r="Q122" s="26">
        <v>0</v>
      </c>
      <c r="R122" s="26"/>
      <c r="S122" s="26">
        <v>0</v>
      </c>
      <c r="T122" s="26"/>
      <c r="U122" s="26">
        <v>0</v>
      </c>
      <c r="V122" s="26"/>
      <c r="W122" s="26">
        <v>0</v>
      </c>
      <c r="X122" s="26"/>
      <c r="Y122" s="26">
        <v>0</v>
      </c>
      <c r="Z122" s="26"/>
      <c r="AA122" s="26">
        <v>0</v>
      </c>
      <c r="AB122" s="26"/>
      <c r="AC122" s="26">
        <v>0</v>
      </c>
      <c r="AD122" s="26"/>
      <c r="AE122" s="26">
        <v>0</v>
      </c>
      <c r="AF122" s="26"/>
      <c r="AG122" s="26">
        <v>0</v>
      </c>
      <c r="AH122" s="26"/>
      <c r="AI122" s="26">
        <v>0</v>
      </c>
      <c r="AJ122" s="26"/>
      <c r="AK122" s="26">
        <v>0</v>
      </c>
      <c r="AL122" s="26"/>
      <c r="AM122" s="26">
        <v>0</v>
      </c>
      <c r="AN122" s="26">
        <v>0</v>
      </c>
      <c r="AO122" s="26">
        <v>0</v>
      </c>
      <c r="AP122" s="26" t="s">
        <v>1250</v>
      </c>
      <c r="AQ122" s="26">
        <v>0</v>
      </c>
      <c r="AR122" s="26">
        <v>0</v>
      </c>
      <c r="AS122" s="26">
        <v>0</v>
      </c>
      <c r="AT122" s="26">
        <v>0</v>
      </c>
      <c r="AU122" s="26"/>
      <c r="AV122" s="26"/>
      <c r="AW122" s="26"/>
      <c r="AX122" s="26">
        <v>0</v>
      </c>
      <c r="AY122" s="26">
        <v>0</v>
      </c>
      <c r="AZ122" s="26">
        <v>0</v>
      </c>
      <c r="BA122" s="26">
        <v>0</v>
      </c>
      <c r="BB122" s="26">
        <v>0</v>
      </c>
      <c r="BC122" s="26">
        <v>0</v>
      </c>
      <c r="BD122" s="26">
        <v>0</v>
      </c>
      <c r="BE122" s="26">
        <v>0</v>
      </c>
      <c r="BF122" s="26">
        <v>0</v>
      </c>
      <c r="BG122" s="26">
        <v>0</v>
      </c>
      <c r="BH122" s="26">
        <v>0</v>
      </c>
      <c r="BI122" s="26">
        <v>0</v>
      </c>
      <c r="BJ122" s="26">
        <v>0</v>
      </c>
      <c r="BK122" s="26">
        <v>0</v>
      </c>
      <c r="BL122" s="26">
        <v>0</v>
      </c>
      <c r="BM122" s="26">
        <v>0</v>
      </c>
      <c r="BN122" s="26">
        <v>0</v>
      </c>
      <c r="BO122" s="26">
        <v>0</v>
      </c>
      <c r="BP122" s="26">
        <v>0</v>
      </c>
      <c r="BQ122" s="26">
        <v>0</v>
      </c>
      <c r="BR122" s="26">
        <v>0</v>
      </c>
      <c r="BS122" s="26"/>
      <c r="BT122" s="26">
        <v>0</v>
      </c>
      <c r="BU122" s="26">
        <v>0</v>
      </c>
      <c r="BV122" s="26">
        <v>0</v>
      </c>
      <c r="BW122" s="26">
        <v>0</v>
      </c>
      <c r="BX122" s="26">
        <v>0</v>
      </c>
      <c r="BY122" s="26">
        <v>0</v>
      </c>
      <c r="BZ122" s="26">
        <v>0</v>
      </c>
      <c r="CA122" s="26">
        <v>0</v>
      </c>
      <c r="CB122" s="26">
        <v>0</v>
      </c>
      <c r="CC122" s="26">
        <v>0</v>
      </c>
      <c r="CD122" s="26">
        <v>0</v>
      </c>
      <c r="CE122" s="26">
        <v>0</v>
      </c>
      <c r="CF122" s="26">
        <v>0</v>
      </c>
      <c r="CG122" s="26">
        <v>0</v>
      </c>
      <c r="CH122" s="26">
        <v>0</v>
      </c>
      <c r="CI122" s="26"/>
      <c r="CJ122" s="26">
        <v>0</v>
      </c>
      <c r="CK122" s="26">
        <v>0</v>
      </c>
      <c r="CL122" s="26"/>
      <c r="CM122" s="26"/>
      <c r="CN122" s="26"/>
      <c r="CO122" s="26">
        <v>0</v>
      </c>
      <c r="CP122" s="26">
        <v>0</v>
      </c>
      <c r="CQ122" s="26">
        <v>0</v>
      </c>
      <c r="CR122" s="26">
        <v>0</v>
      </c>
      <c r="CS122" s="26"/>
      <c r="CT122" s="26"/>
      <c r="CU122" s="26">
        <v>0</v>
      </c>
      <c r="CV122" s="186">
        <v>0</v>
      </c>
      <c r="CW122" s="186" t="s">
        <v>7</v>
      </c>
      <c r="CX122" s="186" t="s">
        <v>892</v>
      </c>
      <c r="CY122" s="187" t="str">
        <f t="shared" si="21"/>
        <v>SFP-Colour_Ky_H_1N</v>
      </c>
    </row>
    <row r="123" spans="1:130" ht="20.100000000000001" customHeight="1" x14ac:dyDescent="0.2">
      <c r="A123" s="25" t="s">
        <v>828</v>
      </c>
      <c r="B123" s="25" t="s">
        <v>440</v>
      </c>
      <c r="C123" s="238" t="s">
        <v>7</v>
      </c>
      <c r="D123" s="199" t="s">
        <v>432</v>
      </c>
      <c r="E123" s="199">
        <v>2</v>
      </c>
      <c r="F123" s="199" t="s">
        <v>439</v>
      </c>
      <c r="G123" s="238" t="s">
        <v>2279</v>
      </c>
      <c r="H123" s="299" t="s">
        <v>2393</v>
      </c>
      <c r="I123" s="199">
        <v>40</v>
      </c>
      <c r="J123" s="204">
        <v>900000</v>
      </c>
      <c r="K123" s="204">
        <v>15000</v>
      </c>
      <c r="L123" s="25">
        <v>827.2</v>
      </c>
      <c r="M123" s="25">
        <v>1.2319999999999999E-2</v>
      </c>
      <c r="N123" s="25">
        <v>0.1012</v>
      </c>
      <c r="O123" s="25">
        <v>1.9800000000000002E-2</v>
      </c>
      <c r="P123" s="25">
        <v>0.20899999999999999</v>
      </c>
      <c r="Q123" s="25">
        <v>6.6000000000000003E-2</v>
      </c>
      <c r="R123" s="25">
        <v>0.41799999999999998</v>
      </c>
      <c r="S123" s="25">
        <v>2.1999999999999999E-2</v>
      </c>
      <c r="T123" s="25">
        <v>0.14299999999999999</v>
      </c>
      <c r="U123" s="25">
        <v>3.5200000000000002E-2</v>
      </c>
      <c r="V123" s="25">
        <v>0.19800000000000001</v>
      </c>
      <c r="W123" s="25">
        <v>2.1999999999999999E-2</v>
      </c>
      <c r="X123" s="25">
        <v>0.14299999999999999</v>
      </c>
      <c r="Y123" s="25">
        <v>2.0899999999999998E-2</v>
      </c>
      <c r="Z123" s="25">
        <v>0.14299999999999999</v>
      </c>
      <c r="AA123" s="25">
        <v>4.3999999999999997E-2</v>
      </c>
      <c r="AB123" s="25">
        <v>0.20899999999999999</v>
      </c>
      <c r="AC123" s="25">
        <v>2.75E-2</v>
      </c>
      <c r="AD123" s="25">
        <v>0.16500000000000001</v>
      </c>
      <c r="AE123" s="25">
        <v>5.0599999999999999E-2</v>
      </c>
      <c r="AF123" s="25">
        <v>0.33</v>
      </c>
      <c r="AG123" s="25">
        <v>2.64E-2</v>
      </c>
      <c r="AH123" s="25">
        <v>0.154</v>
      </c>
      <c r="AI123" s="25">
        <v>3.5200000000000002E-2</v>
      </c>
      <c r="AJ123" s="25">
        <v>0.19800000000000001</v>
      </c>
      <c r="AK123" s="25">
        <v>2.64E-2</v>
      </c>
      <c r="AL123" s="25">
        <v>0.154</v>
      </c>
      <c r="AM123" s="25" t="s">
        <v>2394</v>
      </c>
      <c r="AN123" s="25" t="s">
        <v>2395</v>
      </c>
      <c r="AO123" s="25">
        <v>215.5</v>
      </c>
      <c r="AP123" s="25">
        <v>392.7</v>
      </c>
      <c r="AQ123" s="25" t="s">
        <v>237</v>
      </c>
      <c r="AR123" s="25">
        <v>0</v>
      </c>
      <c r="AS123" s="25" t="s">
        <v>2396</v>
      </c>
      <c r="AT123" s="25">
        <v>701.25</v>
      </c>
      <c r="AU123" s="25"/>
      <c r="AV123" s="25"/>
      <c r="AW123" s="25"/>
      <c r="AX123" s="25">
        <v>0</v>
      </c>
      <c r="AY123" s="25">
        <v>0</v>
      </c>
      <c r="AZ123" s="25">
        <v>273.89999999999998</v>
      </c>
      <c r="BA123" s="25">
        <v>990</v>
      </c>
      <c r="BB123" s="25">
        <v>220</v>
      </c>
      <c r="BC123" s="25">
        <v>330</v>
      </c>
      <c r="BD123" s="25">
        <v>220</v>
      </c>
      <c r="BE123" s="25">
        <v>330</v>
      </c>
      <c r="BF123" s="25">
        <v>660</v>
      </c>
      <c r="BG123" s="25">
        <v>330</v>
      </c>
      <c r="BH123" s="25">
        <v>990</v>
      </c>
      <c r="BI123" s="25">
        <v>264</v>
      </c>
      <c r="BJ123" s="25">
        <v>330</v>
      </c>
      <c r="BK123" s="25">
        <v>264</v>
      </c>
      <c r="BL123" s="25" t="s">
        <v>247</v>
      </c>
      <c r="BM123" s="25">
        <v>3.8</v>
      </c>
      <c r="BN123" s="25">
        <v>17</v>
      </c>
      <c r="BO123" s="25">
        <v>5000</v>
      </c>
      <c r="BP123" s="25">
        <v>3000000</v>
      </c>
      <c r="BQ123" s="25">
        <v>53</v>
      </c>
      <c r="BR123" s="25" t="s">
        <v>248</v>
      </c>
      <c r="BS123" s="25"/>
      <c r="BT123" s="25" t="s">
        <v>2</v>
      </c>
      <c r="BU123" s="25" t="s">
        <v>246</v>
      </c>
      <c r="BV123" s="25" t="s">
        <v>249</v>
      </c>
      <c r="BW123" s="25">
        <v>1150</v>
      </c>
      <c r="BX123" s="25">
        <v>7150</v>
      </c>
      <c r="BY123" s="25">
        <v>150</v>
      </c>
      <c r="BZ123" s="25" t="s">
        <v>0</v>
      </c>
      <c r="CA123" s="25" t="s">
        <v>2</v>
      </c>
      <c r="CB123" s="25" t="s">
        <v>2</v>
      </c>
      <c r="CC123" s="25" t="s">
        <v>2</v>
      </c>
      <c r="CD123" s="25" t="s">
        <v>3</v>
      </c>
      <c r="CE123" s="25" t="s">
        <v>0</v>
      </c>
      <c r="CF123" s="25">
        <v>533.29999999999995</v>
      </c>
      <c r="CG123" s="25">
        <v>36</v>
      </c>
      <c r="CH123" s="25" t="s">
        <v>134</v>
      </c>
      <c r="CI123" s="25"/>
      <c r="CJ123" s="25" t="s">
        <v>2</v>
      </c>
      <c r="CK123" s="25" t="s">
        <v>0</v>
      </c>
      <c r="CL123" s="25"/>
      <c r="CM123" s="25"/>
      <c r="CN123" s="25"/>
      <c r="CO123" s="25" t="s">
        <v>255</v>
      </c>
      <c r="CP123" s="25" t="s">
        <v>742</v>
      </c>
      <c r="CQ123" s="25" t="s">
        <v>257</v>
      </c>
      <c r="CR123" s="25" t="s">
        <v>258</v>
      </c>
      <c r="CS123" s="25"/>
      <c r="CT123" s="25"/>
      <c r="CU123" s="25">
        <v>0</v>
      </c>
      <c r="CV123" s="199" t="str">
        <f t="shared" si="19"/>
        <v>1102Z03AU0</v>
      </c>
      <c r="CW123" s="199" t="str">
        <f t="shared" si="20"/>
        <v>Kyocera</v>
      </c>
      <c r="CX123" s="199" t="str">
        <f>IF(Data!D123="E","Entry",IF(Data!D123="L","Low",IF(Data!D123="M","Medium","High")))</f>
        <v>High</v>
      </c>
      <c r="CY123" s="206" t="str">
        <f t="shared" si="21"/>
        <v>SFP-Colour_Ky_H_2Y</v>
      </c>
    </row>
    <row r="124" spans="1:130" ht="20.100000000000001" customHeight="1" x14ac:dyDescent="0.2">
      <c r="A124" s="25" t="s">
        <v>829</v>
      </c>
      <c r="B124" s="25" t="s">
        <v>440</v>
      </c>
      <c r="C124" s="238" t="s">
        <v>8</v>
      </c>
      <c r="D124" s="199" t="s">
        <v>435</v>
      </c>
      <c r="E124" s="199">
        <v>1</v>
      </c>
      <c r="F124" s="203" t="s">
        <v>437</v>
      </c>
      <c r="G124" s="199">
        <v>408542</v>
      </c>
      <c r="H124" s="199" t="s">
        <v>2141</v>
      </c>
      <c r="I124" s="199">
        <v>25</v>
      </c>
      <c r="J124" s="204">
        <v>180000</v>
      </c>
      <c r="K124" s="204">
        <v>65000</v>
      </c>
      <c r="L124" s="25">
        <v>383.72400000000005</v>
      </c>
      <c r="M124" s="25">
        <v>2.0900000000000002E-2</v>
      </c>
      <c r="N124" s="25">
        <v>0.11000000000000001</v>
      </c>
      <c r="O124" s="25" t="s">
        <v>0</v>
      </c>
      <c r="P124" s="25" t="s">
        <v>0</v>
      </c>
      <c r="Q124" s="25" t="s">
        <v>0</v>
      </c>
      <c r="R124" s="25" t="s">
        <v>0</v>
      </c>
      <c r="S124" s="25">
        <v>3.3000000000000002E-2</v>
      </c>
      <c r="T124" s="25">
        <v>0.15400000000000003</v>
      </c>
      <c r="U124" s="25">
        <v>5.5000000000000007E-2</v>
      </c>
      <c r="V124" s="25">
        <v>0.18700000000000003</v>
      </c>
      <c r="W124" s="25">
        <v>6.1820000000000007E-2</v>
      </c>
      <c r="X124" s="25">
        <v>0.22572</v>
      </c>
      <c r="Y124" s="25">
        <v>3.3000000000000002E-2</v>
      </c>
      <c r="Z124" s="25">
        <v>0.12100000000000001</v>
      </c>
      <c r="AA124" s="25">
        <v>4.4000000000000004E-2</v>
      </c>
      <c r="AB124" s="25">
        <v>0.19800000000000001</v>
      </c>
      <c r="AC124" s="25">
        <v>6.6000000000000003E-2</v>
      </c>
      <c r="AD124" s="25">
        <v>0.24200000000000002</v>
      </c>
      <c r="AE124" s="25">
        <v>5.62E-2</v>
      </c>
      <c r="AF124" s="25">
        <v>0.22572</v>
      </c>
      <c r="AG124" s="25">
        <v>5.5000000000000007E-2</v>
      </c>
      <c r="AH124" s="25">
        <v>0.17600000000000002</v>
      </c>
      <c r="AI124" s="25">
        <v>6.6000000000000003E-2</v>
      </c>
      <c r="AJ124" s="25">
        <v>0.20900000000000002</v>
      </c>
      <c r="AK124" s="25">
        <v>5.5000000000000007E-2</v>
      </c>
      <c r="AL124" s="25">
        <v>0.17600000000000002</v>
      </c>
      <c r="AM124" s="25">
        <v>407720</v>
      </c>
      <c r="AN124" s="25" t="s">
        <v>830</v>
      </c>
      <c r="AO124" s="25">
        <v>159.5</v>
      </c>
      <c r="AP124" s="25">
        <v>185.9</v>
      </c>
      <c r="AQ124" s="25" t="s">
        <v>0</v>
      </c>
      <c r="AR124" s="25" t="s">
        <v>0</v>
      </c>
      <c r="AS124" s="25" t="s">
        <v>0</v>
      </c>
      <c r="AT124" s="25" t="s">
        <v>0</v>
      </c>
      <c r="AU124" s="25"/>
      <c r="AV124" s="25"/>
      <c r="AW124" s="25"/>
      <c r="AX124" s="25" t="s">
        <v>0</v>
      </c>
      <c r="AY124" s="25" t="s">
        <v>0</v>
      </c>
      <c r="AZ124" s="25">
        <v>0</v>
      </c>
      <c r="BA124" s="25">
        <v>0</v>
      </c>
      <c r="BB124" s="25">
        <v>475.53000000000003</v>
      </c>
      <c r="BC124" s="25">
        <v>420.53000000000003</v>
      </c>
      <c r="BD124" s="25">
        <v>420.53000000000003</v>
      </c>
      <c r="BE124" s="25">
        <v>242.33000000000004</v>
      </c>
      <c r="BF124" s="25">
        <v>365.53000000000003</v>
      </c>
      <c r="BG124" s="25">
        <v>497.53000000000003</v>
      </c>
      <c r="BH124" s="25">
        <v>497.53000000000003</v>
      </c>
      <c r="BI124" s="25">
        <v>420.53000000000003</v>
      </c>
      <c r="BJ124" s="25">
        <v>497.53</v>
      </c>
      <c r="BK124" s="25">
        <v>420.53000000000003</v>
      </c>
      <c r="BL124" s="25" t="s">
        <v>831</v>
      </c>
      <c r="BM124" s="25" t="s">
        <v>832</v>
      </c>
      <c r="BN124" s="25" t="s">
        <v>833</v>
      </c>
      <c r="BO124" s="25">
        <v>3000</v>
      </c>
      <c r="BP124" s="25">
        <v>180000</v>
      </c>
      <c r="BQ124" s="25" t="s">
        <v>834</v>
      </c>
      <c r="BR124" s="25" t="s">
        <v>835</v>
      </c>
      <c r="BS124" s="25"/>
      <c r="BT124" s="25" t="s">
        <v>2</v>
      </c>
      <c r="BU124" s="25" t="s">
        <v>831</v>
      </c>
      <c r="BV124" s="25" t="s">
        <v>836</v>
      </c>
      <c r="BW124" s="25" t="s">
        <v>837</v>
      </c>
      <c r="BX124" s="25" t="s">
        <v>838</v>
      </c>
      <c r="BY124" s="25">
        <v>1</v>
      </c>
      <c r="BZ124" s="25" t="s">
        <v>0</v>
      </c>
      <c r="CA124" s="25" t="s">
        <v>2</v>
      </c>
      <c r="CB124" s="25" t="s">
        <v>2</v>
      </c>
      <c r="CC124" s="25" t="s">
        <v>2</v>
      </c>
      <c r="CD124" s="25" t="s">
        <v>3</v>
      </c>
      <c r="CE124" s="25" t="s">
        <v>2</v>
      </c>
      <c r="CF124" s="25" t="s">
        <v>839</v>
      </c>
      <c r="CG124" s="25" t="s">
        <v>307</v>
      </c>
      <c r="CH124" s="25" t="s">
        <v>741</v>
      </c>
      <c r="CI124" s="25"/>
      <c r="CJ124" s="25">
        <v>0</v>
      </c>
      <c r="CK124" s="25" t="s">
        <v>1779</v>
      </c>
      <c r="CL124" s="25"/>
      <c r="CM124" s="25"/>
      <c r="CN124" s="25"/>
      <c r="CO124" s="25" t="s">
        <v>840</v>
      </c>
      <c r="CP124" s="25" t="s">
        <v>841</v>
      </c>
      <c r="CQ124" s="25" t="s">
        <v>842</v>
      </c>
      <c r="CR124" s="25" t="s">
        <v>843</v>
      </c>
      <c r="CS124" s="25"/>
      <c r="CT124" s="25"/>
      <c r="CU124" s="25">
        <v>0</v>
      </c>
      <c r="CV124" s="199">
        <f t="shared" si="19"/>
        <v>408542</v>
      </c>
      <c r="CW124" s="199" t="str">
        <f t="shared" si="20"/>
        <v>Ricoh</v>
      </c>
      <c r="CX124" s="199" t="str">
        <f>IF(Data!D124="E","Entry",IF(Data!D124="L","Low",IF(Data!D124="M","Medium","High")))</f>
        <v>Low</v>
      </c>
      <c r="CY124" s="206" t="str">
        <f t="shared" si="21"/>
        <v>SFP-Colour_Ri_L_1Y</v>
      </c>
    </row>
    <row r="125" spans="1:130" ht="20.100000000000001" customHeight="1" x14ac:dyDescent="0.2">
      <c r="A125" s="25" t="s">
        <v>844</v>
      </c>
      <c r="B125" s="25" t="s">
        <v>440</v>
      </c>
      <c r="C125" s="238" t="s">
        <v>8</v>
      </c>
      <c r="D125" s="199" t="s">
        <v>435</v>
      </c>
      <c r="E125" s="199">
        <v>2</v>
      </c>
      <c r="F125" s="203" t="s">
        <v>437</v>
      </c>
      <c r="G125" s="199">
        <v>408545</v>
      </c>
      <c r="H125" s="199" t="s">
        <v>2142</v>
      </c>
      <c r="I125" s="199">
        <v>25</v>
      </c>
      <c r="J125" s="204">
        <v>180000</v>
      </c>
      <c r="K125" s="204">
        <v>65000</v>
      </c>
      <c r="L125" s="25">
        <v>563.11199999999997</v>
      </c>
      <c r="M125" s="25">
        <v>1.9E-2</v>
      </c>
      <c r="N125" s="25">
        <v>0.1</v>
      </c>
      <c r="O125" s="25" t="s">
        <v>0</v>
      </c>
      <c r="P125" s="25" t="s">
        <v>0</v>
      </c>
      <c r="Q125" s="25" t="s">
        <v>0</v>
      </c>
      <c r="R125" s="25" t="s">
        <v>0</v>
      </c>
      <c r="S125" s="25">
        <v>3.3000000000000002E-2</v>
      </c>
      <c r="T125" s="25">
        <v>0.15400000000000003</v>
      </c>
      <c r="U125" s="25">
        <v>5.5000000000000007E-2</v>
      </c>
      <c r="V125" s="25">
        <v>0.18700000000000003</v>
      </c>
      <c r="W125" s="25">
        <v>6.1820000000000007E-2</v>
      </c>
      <c r="X125" s="25">
        <v>0.22572</v>
      </c>
      <c r="Y125" s="25">
        <v>3.3000000000000002E-2</v>
      </c>
      <c r="Z125" s="25">
        <v>0.12100000000000001</v>
      </c>
      <c r="AA125" s="25">
        <v>4.4000000000000004E-2</v>
      </c>
      <c r="AB125" s="25">
        <v>0.19800000000000001</v>
      </c>
      <c r="AC125" s="25">
        <v>6.6000000000000003E-2</v>
      </c>
      <c r="AD125" s="25">
        <v>0.19800000000000001</v>
      </c>
      <c r="AE125" s="25">
        <v>5.62E-2</v>
      </c>
      <c r="AF125" s="25">
        <v>0.22572</v>
      </c>
      <c r="AG125" s="25">
        <v>5.5000000000000007E-2</v>
      </c>
      <c r="AH125" s="25">
        <v>0.17600000000000002</v>
      </c>
      <c r="AI125" s="25">
        <v>6.6000000000000003E-2</v>
      </c>
      <c r="AJ125" s="25">
        <v>0.20900000000000002</v>
      </c>
      <c r="AK125" s="25">
        <v>5.5000000000000007E-2</v>
      </c>
      <c r="AL125" s="25">
        <v>0.17600000000000002</v>
      </c>
      <c r="AM125" s="25">
        <v>407903</v>
      </c>
      <c r="AN125" s="25" t="s">
        <v>830</v>
      </c>
      <c r="AO125" s="25">
        <v>146.30000000000001</v>
      </c>
      <c r="AP125" s="25">
        <v>216.70000000000002</v>
      </c>
      <c r="AQ125" s="25" t="s">
        <v>845</v>
      </c>
      <c r="AR125" s="25">
        <v>138.6</v>
      </c>
      <c r="AS125" s="25" t="s">
        <v>768</v>
      </c>
      <c r="AT125" s="25">
        <v>380.6</v>
      </c>
      <c r="AU125" s="25"/>
      <c r="AV125" s="25"/>
      <c r="AW125" s="25"/>
      <c r="AX125" s="25" t="s">
        <v>0</v>
      </c>
      <c r="AY125" s="25" t="s">
        <v>717</v>
      </c>
      <c r="AZ125" s="25">
        <v>0</v>
      </c>
      <c r="BA125" s="25">
        <v>0</v>
      </c>
      <c r="BB125" s="25">
        <v>492.14</v>
      </c>
      <c r="BC125" s="25">
        <v>437.14</v>
      </c>
      <c r="BD125" s="25">
        <v>437.14</v>
      </c>
      <c r="BE125" s="25">
        <v>258.94000000000005</v>
      </c>
      <c r="BF125" s="25">
        <v>382.14</v>
      </c>
      <c r="BG125" s="25">
        <v>514.14</v>
      </c>
      <c r="BH125" s="25">
        <v>448.14</v>
      </c>
      <c r="BI125" s="25">
        <v>437.14</v>
      </c>
      <c r="BJ125" s="25">
        <v>488.95</v>
      </c>
      <c r="BK125" s="25">
        <v>437.14</v>
      </c>
      <c r="BL125" s="25" t="s">
        <v>846</v>
      </c>
      <c r="BM125" s="25" t="s">
        <v>847</v>
      </c>
      <c r="BN125" s="25" t="s">
        <v>848</v>
      </c>
      <c r="BO125" s="25">
        <v>6000</v>
      </c>
      <c r="BP125" s="25">
        <v>360000</v>
      </c>
      <c r="BQ125" s="25" t="s">
        <v>849</v>
      </c>
      <c r="BR125" s="25" t="s">
        <v>195</v>
      </c>
      <c r="BS125" s="25"/>
      <c r="BT125" s="25" t="s">
        <v>2</v>
      </c>
      <c r="BU125" s="25" t="s">
        <v>850</v>
      </c>
      <c r="BV125" s="25" t="s">
        <v>851</v>
      </c>
      <c r="BW125" s="25" t="s">
        <v>852</v>
      </c>
      <c r="BX125" s="25" t="s">
        <v>853</v>
      </c>
      <c r="BY125" s="25" t="s">
        <v>640</v>
      </c>
      <c r="BZ125" s="25" t="s">
        <v>0</v>
      </c>
      <c r="CA125" s="25" t="s">
        <v>2</v>
      </c>
      <c r="CB125" s="25" t="s">
        <v>2</v>
      </c>
      <c r="CC125" s="25" t="s">
        <v>2</v>
      </c>
      <c r="CD125" s="25" t="s">
        <v>3</v>
      </c>
      <c r="CE125" s="25" t="s">
        <v>3</v>
      </c>
      <c r="CF125" s="25" t="s">
        <v>854</v>
      </c>
      <c r="CG125" s="25" t="s">
        <v>307</v>
      </c>
      <c r="CH125" s="25" t="s">
        <v>56</v>
      </c>
      <c r="CI125" s="25"/>
      <c r="CJ125" s="25">
        <v>0</v>
      </c>
      <c r="CK125" s="25" t="s">
        <v>3</v>
      </c>
      <c r="CL125" s="25"/>
      <c r="CM125" s="25"/>
      <c r="CN125" s="25"/>
      <c r="CO125" s="25" t="s">
        <v>855</v>
      </c>
      <c r="CP125" s="25" t="s">
        <v>856</v>
      </c>
      <c r="CQ125" s="25" t="s">
        <v>857</v>
      </c>
      <c r="CR125" s="25" t="s">
        <v>858</v>
      </c>
      <c r="CS125" s="25"/>
      <c r="CT125" s="25"/>
      <c r="CU125" s="25">
        <v>0</v>
      </c>
      <c r="CV125" s="199">
        <f t="shared" si="19"/>
        <v>408545</v>
      </c>
      <c r="CW125" s="199" t="str">
        <f t="shared" si="20"/>
        <v>Ricoh</v>
      </c>
      <c r="CX125" s="199" t="str">
        <f>IF(Data!D125="E","Entry",IF(Data!D125="L","Low",IF(Data!D125="M","Medium","High")))</f>
        <v>Low</v>
      </c>
      <c r="CY125" s="206" t="str">
        <f t="shared" si="21"/>
        <v>SFP-Colour_Ri_L_2Y</v>
      </c>
    </row>
    <row r="126" spans="1:130" ht="20.100000000000001" customHeight="1" x14ac:dyDescent="0.2">
      <c r="A126" s="25" t="s">
        <v>859</v>
      </c>
      <c r="B126" s="25" t="s">
        <v>440</v>
      </c>
      <c r="C126" s="238" t="s">
        <v>8</v>
      </c>
      <c r="D126" s="199" t="s">
        <v>433</v>
      </c>
      <c r="E126" s="199">
        <v>1</v>
      </c>
      <c r="F126" s="203" t="s">
        <v>438</v>
      </c>
      <c r="G126" s="186">
        <v>0</v>
      </c>
      <c r="H126" s="27" t="s">
        <v>899</v>
      </c>
      <c r="I126" s="186">
        <v>0</v>
      </c>
      <c r="J126" s="189">
        <v>0</v>
      </c>
      <c r="K126" s="189">
        <v>0</v>
      </c>
      <c r="L126" s="26">
        <v>0</v>
      </c>
      <c r="M126" s="26">
        <v>0</v>
      </c>
      <c r="N126" s="26">
        <v>0</v>
      </c>
      <c r="O126" s="26" t="s">
        <v>0</v>
      </c>
      <c r="P126" s="26" t="s">
        <v>0</v>
      </c>
      <c r="Q126" s="26" t="s">
        <v>0</v>
      </c>
      <c r="R126" s="26" t="s">
        <v>0</v>
      </c>
      <c r="S126" s="26">
        <v>0</v>
      </c>
      <c r="T126" s="26">
        <v>0</v>
      </c>
      <c r="U126" s="26">
        <v>0</v>
      </c>
      <c r="V126" s="26">
        <v>0</v>
      </c>
      <c r="W126" s="26">
        <v>0</v>
      </c>
      <c r="X126" s="26">
        <v>0</v>
      </c>
      <c r="Y126" s="26">
        <v>0</v>
      </c>
      <c r="Z126" s="26">
        <v>0</v>
      </c>
      <c r="AA126" s="26">
        <v>0</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c r="AV126" s="26"/>
      <c r="AW126" s="26"/>
      <c r="AX126" s="26">
        <v>0</v>
      </c>
      <c r="AY126" s="26">
        <v>0</v>
      </c>
      <c r="AZ126" s="26">
        <v>0</v>
      </c>
      <c r="BA126" s="26">
        <v>0</v>
      </c>
      <c r="BB126" s="26">
        <v>0</v>
      </c>
      <c r="BC126" s="26">
        <v>0</v>
      </c>
      <c r="BD126" s="26">
        <v>0</v>
      </c>
      <c r="BE126" s="26">
        <v>0</v>
      </c>
      <c r="BF126" s="26">
        <v>0</v>
      </c>
      <c r="BG126" s="26">
        <v>0</v>
      </c>
      <c r="BH126" s="26">
        <v>0</v>
      </c>
      <c r="BI126" s="26">
        <v>0</v>
      </c>
      <c r="BJ126" s="26">
        <v>0</v>
      </c>
      <c r="BK126" s="26">
        <v>0</v>
      </c>
      <c r="BL126" s="26">
        <v>0</v>
      </c>
      <c r="BM126" s="26">
        <v>0</v>
      </c>
      <c r="BN126" s="26">
        <v>0</v>
      </c>
      <c r="BO126" s="26">
        <v>0</v>
      </c>
      <c r="BP126" s="26">
        <v>0</v>
      </c>
      <c r="BQ126" s="26">
        <v>0</v>
      </c>
      <c r="BR126" s="26">
        <v>0</v>
      </c>
      <c r="BS126" s="26"/>
      <c r="BT126" s="26">
        <v>0</v>
      </c>
      <c r="BU126" s="26">
        <v>0</v>
      </c>
      <c r="BV126" s="26">
        <v>0</v>
      </c>
      <c r="BW126" s="26">
        <v>0</v>
      </c>
      <c r="BX126" s="26">
        <v>0</v>
      </c>
      <c r="BY126" s="26">
        <v>0</v>
      </c>
      <c r="BZ126" s="26">
        <v>0</v>
      </c>
      <c r="CA126" s="26">
        <v>0</v>
      </c>
      <c r="CB126" s="26">
        <v>0</v>
      </c>
      <c r="CC126" s="26">
        <v>0</v>
      </c>
      <c r="CD126" s="26">
        <v>0</v>
      </c>
      <c r="CE126" s="26">
        <v>0</v>
      </c>
      <c r="CF126" s="26">
        <v>0</v>
      </c>
      <c r="CG126" s="26">
        <v>0</v>
      </c>
      <c r="CH126" s="26">
        <v>0</v>
      </c>
      <c r="CI126" s="26"/>
      <c r="CJ126" s="26">
        <v>0</v>
      </c>
      <c r="CK126" s="26">
        <v>0</v>
      </c>
      <c r="CL126" s="26"/>
      <c r="CM126" s="26"/>
      <c r="CN126" s="26"/>
      <c r="CO126" s="26">
        <v>0</v>
      </c>
      <c r="CP126" s="26">
        <v>0</v>
      </c>
      <c r="CQ126" s="26">
        <v>0</v>
      </c>
      <c r="CR126" s="26">
        <v>0</v>
      </c>
      <c r="CS126" s="26"/>
      <c r="CT126" s="26"/>
      <c r="CU126" s="26">
        <v>0</v>
      </c>
      <c r="CV126" s="186">
        <f t="shared" ref="CV126" si="26">G126</f>
        <v>0</v>
      </c>
      <c r="CW126" s="186" t="str">
        <f t="shared" ref="CW126" si="27">C126</f>
        <v>Ricoh</v>
      </c>
      <c r="CX126" s="186" t="str">
        <f>IF(Data!D126="E","Entry",IF(Data!D126="L","Low",IF(Data!D126="M","Medium","High")))</f>
        <v>Medium</v>
      </c>
      <c r="CY126" s="187" t="str">
        <f t="shared" ref="CY126" si="28">A126&amp;IF(H126="Not Offered","N","Y")</f>
        <v>SFP-Colour_Ri_M_1N</v>
      </c>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row>
    <row r="127" spans="1:130" s="36" customFormat="1" ht="20.100000000000001" customHeight="1" x14ac:dyDescent="0.2">
      <c r="A127" s="26" t="s">
        <v>866</v>
      </c>
      <c r="B127" s="26" t="s">
        <v>440</v>
      </c>
      <c r="C127" s="16" t="s">
        <v>8</v>
      </c>
      <c r="D127" s="186" t="s">
        <v>433</v>
      </c>
      <c r="E127" s="186">
        <v>2</v>
      </c>
      <c r="F127" s="184" t="s">
        <v>438</v>
      </c>
      <c r="G127" s="186">
        <v>0</v>
      </c>
      <c r="H127" s="27" t="s">
        <v>899</v>
      </c>
      <c r="I127" s="186">
        <v>0</v>
      </c>
      <c r="J127" s="189">
        <v>0</v>
      </c>
      <c r="K127" s="189">
        <v>0</v>
      </c>
      <c r="L127" s="26">
        <v>0</v>
      </c>
      <c r="M127" s="26">
        <v>0</v>
      </c>
      <c r="N127" s="26">
        <v>0</v>
      </c>
      <c r="O127" s="26" t="s">
        <v>0</v>
      </c>
      <c r="P127" s="26" t="s">
        <v>0</v>
      </c>
      <c r="Q127" s="26" t="s">
        <v>0</v>
      </c>
      <c r="R127" s="26" t="s">
        <v>0</v>
      </c>
      <c r="S127" s="26">
        <v>0</v>
      </c>
      <c r="T127" s="26">
        <v>0</v>
      </c>
      <c r="U127" s="26">
        <v>0</v>
      </c>
      <c r="V127" s="26">
        <v>0</v>
      </c>
      <c r="W127" s="26">
        <v>0</v>
      </c>
      <c r="X127" s="26">
        <v>0</v>
      </c>
      <c r="Y127" s="26">
        <v>0</v>
      </c>
      <c r="Z127" s="26">
        <v>0</v>
      </c>
      <c r="AA127" s="26">
        <v>0</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c r="AV127" s="26"/>
      <c r="AW127" s="26"/>
      <c r="AX127" s="26">
        <v>0</v>
      </c>
      <c r="AY127" s="26">
        <v>0</v>
      </c>
      <c r="AZ127" s="26">
        <v>0</v>
      </c>
      <c r="BA127" s="26">
        <v>0</v>
      </c>
      <c r="BB127" s="26">
        <v>0</v>
      </c>
      <c r="BC127" s="26">
        <v>0</v>
      </c>
      <c r="BD127" s="26">
        <v>0</v>
      </c>
      <c r="BE127" s="26">
        <v>0</v>
      </c>
      <c r="BF127" s="26">
        <v>0</v>
      </c>
      <c r="BG127" s="26">
        <v>0</v>
      </c>
      <c r="BH127" s="26">
        <v>0</v>
      </c>
      <c r="BI127" s="26">
        <v>0</v>
      </c>
      <c r="BJ127" s="26">
        <v>0</v>
      </c>
      <c r="BK127" s="26">
        <v>0</v>
      </c>
      <c r="BL127" s="26">
        <v>0</v>
      </c>
      <c r="BM127" s="26">
        <v>0</v>
      </c>
      <c r="BN127" s="26">
        <v>0</v>
      </c>
      <c r="BO127" s="26">
        <v>0</v>
      </c>
      <c r="BP127" s="26">
        <v>0</v>
      </c>
      <c r="BQ127" s="26">
        <v>0</v>
      </c>
      <c r="BR127" s="26">
        <v>0</v>
      </c>
      <c r="BS127" s="26"/>
      <c r="BT127" s="26">
        <v>0</v>
      </c>
      <c r="BU127" s="26">
        <v>0</v>
      </c>
      <c r="BV127" s="26">
        <v>0</v>
      </c>
      <c r="BW127" s="26">
        <v>0</v>
      </c>
      <c r="BX127" s="26">
        <v>0</v>
      </c>
      <c r="BY127" s="26">
        <v>0</v>
      </c>
      <c r="BZ127" s="26">
        <v>0</v>
      </c>
      <c r="CA127" s="26">
        <v>0</v>
      </c>
      <c r="CB127" s="26">
        <v>0</v>
      </c>
      <c r="CC127" s="26">
        <v>0</v>
      </c>
      <c r="CD127" s="26">
        <v>0</v>
      </c>
      <c r="CE127" s="26">
        <v>0</v>
      </c>
      <c r="CF127" s="26">
        <v>0</v>
      </c>
      <c r="CG127" s="26">
        <v>0</v>
      </c>
      <c r="CH127" s="26">
        <v>0</v>
      </c>
      <c r="CI127" s="26"/>
      <c r="CJ127" s="26">
        <v>0</v>
      </c>
      <c r="CK127" s="26">
        <v>0</v>
      </c>
      <c r="CL127" s="26"/>
      <c r="CM127" s="26"/>
      <c r="CN127" s="26"/>
      <c r="CO127" s="26">
        <v>0</v>
      </c>
      <c r="CP127" s="26">
        <v>0</v>
      </c>
      <c r="CQ127" s="26">
        <v>0</v>
      </c>
      <c r="CR127" s="26">
        <v>0</v>
      </c>
      <c r="CS127" s="26"/>
      <c r="CT127" s="26"/>
      <c r="CU127" s="26">
        <v>0</v>
      </c>
      <c r="CV127" s="186">
        <f t="shared" si="19"/>
        <v>0</v>
      </c>
      <c r="CW127" s="186" t="str">
        <f t="shared" si="20"/>
        <v>Ricoh</v>
      </c>
      <c r="CX127" s="186" t="str">
        <f>IF(Data!D127="E","Entry",IF(Data!D127="L","Low",IF(Data!D127="M","Medium","High")))</f>
        <v>Medium</v>
      </c>
      <c r="CY127" s="187" t="str">
        <f t="shared" si="21"/>
        <v>SFP-Colour_Ri_M_2N</v>
      </c>
    </row>
    <row r="128" spans="1:130" ht="20.100000000000001" customHeight="1" x14ac:dyDescent="0.2">
      <c r="A128" s="25" t="s">
        <v>867</v>
      </c>
      <c r="B128" s="25" t="s">
        <v>440</v>
      </c>
      <c r="C128" s="238" t="s">
        <v>8</v>
      </c>
      <c r="D128" s="199" t="s">
        <v>432</v>
      </c>
      <c r="E128" s="199">
        <v>1</v>
      </c>
      <c r="F128" s="199" t="s">
        <v>439</v>
      </c>
      <c r="G128" s="199">
        <v>408303</v>
      </c>
      <c r="H128" s="199" t="s">
        <v>1955</v>
      </c>
      <c r="I128" s="199">
        <v>40</v>
      </c>
      <c r="J128" s="204">
        <v>900000</v>
      </c>
      <c r="K128" s="204">
        <v>150000</v>
      </c>
      <c r="L128" s="25">
        <v>1095.336</v>
      </c>
      <c r="M128" s="25">
        <v>7.7000000000000011E-3</v>
      </c>
      <c r="N128" s="25">
        <v>6.6000000000000003E-2</v>
      </c>
      <c r="O128" s="25" t="s">
        <v>0</v>
      </c>
      <c r="P128" s="25" t="s">
        <v>0</v>
      </c>
      <c r="Q128" s="25" t="s">
        <v>0</v>
      </c>
      <c r="R128" s="25" t="s">
        <v>0</v>
      </c>
      <c r="S128" s="25">
        <v>2.2000000000000002E-2</v>
      </c>
      <c r="T128" s="25">
        <v>0.13200000000000001</v>
      </c>
      <c r="U128" s="25">
        <v>3.7400000000000003E-2</v>
      </c>
      <c r="V128" s="25">
        <v>0.13750000000000001</v>
      </c>
      <c r="W128" s="25">
        <v>2.9700000000000001E-2</v>
      </c>
      <c r="X128" s="25">
        <v>0.16632000000000002</v>
      </c>
      <c r="Y128" s="25">
        <v>2.7500000000000004E-2</v>
      </c>
      <c r="Z128" s="25">
        <v>0.10450000000000001</v>
      </c>
      <c r="AA128" s="25">
        <v>2.6400000000000003E-2</v>
      </c>
      <c r="AB128" s="25">
        <v>0.15400000000000003</v>
      </c>
      <c r="AC128" s="25">
        <v>4.4000000000000004E-2</v>
      </c>
      <c r="AD128" s="25">
        <v>0.17600000000000002</v>
      </c>
      <c r="AE128" s="25">
        <v>2.7E-2</v>
      </c>
      <c r="AF128" s="25">
        <v>0.16632000000000002</v>
      </c>
      <c r="AG128" s="25">
        <v>2.4199999999999999E-2</v>
      </c>
      <c r="AH128" s="25">
        <v>0.17600000000000002</v>
      </c>
      <c r="AI128" s="25">
        <v>3.7400000000000003E-2</v>
      </c>
      <c r="AJ128" s="25">
        <v>0.13750000000000001</v>
      </c>
      <c r="AK128" s="25">
        <v>2.4199999999999999E-2</v>
      </c>
      <c r="AL128" s="25">
        <v>0.17600000000000002</v>
      </c>
      <c r="AM128" s="25">
        <v>821074</v>
      </c>
      <c r="AN128" s="25" t="s">
        <v>830</v>
      </c>
      <c r="AO128" s="25">
        <v>80.300000000000011</v>
      </c>
      <c r="AP128" s="25">
        <v>275</v>
      </c>
      <c r="AQ128" s="25">
        <v>406662</v>
      </c>
      <c r="AR128" s="25">
        <v>165</v>
      </c>
      <c r="AS128" s="25" t="s">
        <v>760</v>
      </c>
      <c r="AT128" s="25">
        <v>236.50000000000003</v>
      </c>
      <c r="AU128" s="25"/>
      <c r="AV128" s="25"/>
      <c r="AW128" s="25"/>
      <c r="AX128" s="25" t="s">
        <v>0</v>
      </c>
      <c r="AY128" s="25" t="s">
        <v>717</v>
      </c>
      <c r="AZ128" s="25">
        <v>0</v>
      </c>
      <c r="BA128" s="25">
        <v>0</v>
      </c>
      <c r="BB128" s="25">
        <v>541.42000000000007</v>
      </c>
      <c r="BC128" s="25">
        <v>563.42000000000007</v>
      </c>
      <c r="BD128" s="25">
        <v>486.42</v>
      </c>
      <c r="BE128" s="25">
        <v>308.22000000000003</v>
      </c>
      <c r="BF128" s="25">
        <v>431.42</v>
      </c>
      <c r="BG128" s="25">
        <v>563.42000000000007</v>
      </c>
      <c r="BH128" s="25">
        <v>563.42000000000007</v>
      </c>
      <c r="BI128" s="25">
        <v>486.42</v>
      </c>
      <c r="BJ128" s="25">
        <v>563.42000000000007</v>
      </c>
      <c r="BK128" s="25">
        <v>486.42</v>
      </c>
      <c r="BL128" s="25" t="s">
        <v>868</v>
      </c>
      <c r="BM128" s="25" t="s">
        <v>869</v>
      </c>
      <c r="BN128" s="25" t="s">
        <v>860</v>
      </c>
      <c r="BO128" s="25">
        <v>20000</v>
      </c>
      <c r="BP128" s="25">
        <v>1200000</v>
      </c>
      <c r="BQ128" s="25" t="s">
        <v>870</v>
      </c>
      <c r="BR128" s="25" t="s">
        <v>871</v>
      </c>
      <c r="BS128" s="25"/>
      <c r="BT128" s="25" t="s">
        <v>2</v>
      </c>
      <c r="BU128" s="25" t="s">
        <v>868</v>
      </c>
      <c r="BV128" s="25" t="s">
        <v>861</v>
      </c>
      <c r="BW128" s="25" t="s">
        <v>862</v>
      </c>
      <c r="BX128" s="25" t="s">
        <v>863</v>
      </c>
      <c r="BY128" s="25" t="s">
        <v>640</v>
      </c>
      <c r="BZ128" s="25" t="s">
        <v>0</v>
      </c>
      <c r="CA128" s="25" t="s">
        <v>2</v>
      </c>
      <c r="CB128" s="25" t="s">
        <v>2</v>
      </c>
      <c r="CC128" s="25" t="s">
        <v>2</v>
      </c>
      <c r="CD128" s="25" t="s">
        <v>3</v>
      </c>
      <c r="CE128" s="25" t="s">
        <v>3</v>
      </c>
      <c r="CF128" s="25" t="s">
        <v>872</v>
      </c>
      <c r="CG128" s="25" t="s">
        <v>307</v>
      </c>
      <c r="CH128" s="25" t="s">
        <v>864</v>
      </c>
      <c r="CI128" s="25"/>
      <c r="CJ128" s="25" t="s">
        <v>1780</v>
      </c>
      <c r="CK128" s="25" t="s">
        <v>3</v>
      </c>
      <c r="CL128" s="25"/>
      <c r="CM128" s="25"/>
      <c r="CN128" s="25"/>
      <c r="CO128" s="25" t="s">
        <v>873</v>
      </c>
      <c r="CP128" s="25" t="s">
        <v>865</v>
      </c>
      <c r="CQ128" s="25" t="s">
        <v>874</v>
      </c>
      <c r="CR128" s="25" t="s">
        <v>875</v>
      </c>
      <c r="CS128" s="25"/>
      <c r="CT128" s="25"/>
      <c r="CU128" s="25">
        <v>0</v>
      </c>
      <c r="CV128" s="199">
        <f t="shared" si="19"/>
        <v>408303</v>
      </c>
      <c r="CW128" s="199" t="str">
        <f t="shared" si="20"/>
        <v>Ricoh</v>
      </c>
      <c r="CX128" s="199" t="str">
        <f>IF(Data!D128="E","Entry",IF(Data!D128="L","Low",IF(Data!D128="M","Medium","High")))</f>
        <v>High</v>
      </c>
      <c r="CY128" s="206" t="str">
        <f t="shared" si="21"/>
        <v>SFP-Colour_Ri_H_1Y</v>
      </c>
    </row>
    <row r="129" spans="1:103" ht="20.100000000000001" customHeight="1" x14ac:dyDescent="0.2">
      <c r="A129" s="25" t="s">
        <v>876</v>
      </c>
      <c r="B129" s="25" t="s">
        <v>440</v>
      </c>
      <c r="C129" s="238" t="s">
        <v>8</v>
      </c>
      <c r="D129" s="199" t="s">
        <v>432</v>
      </c>
      <c r="E129" s="199">
        <v>2</v>
      </c>
      <c r="F129" s="199" t="s">
        <v>439</v>
      </c>
      <c r="G129" s="199">
        <v>407749</v>
      </c>
      <c r="H129" s="199" t="s">
        <v>877</v>
      </c>
      <c r="I129" s="199">
        <v>45</v>
      </c>
      <c r="J129" s="204">
        <v>3000000</v>
      </c>
      <c r="K129" s="204">
        <v>200000</v>
      </c>
      <c r="L129" s="25">
        <v>3211.1640000000002</v>
      </c>
      <c r="M129" s="25">
        <v>7.7000000000000011E-3</v>
      </c>
      <c r="N129" s="25">
        <v>7.7000000000000013E-2</v>
      </c>
      <c r="O129" s="25" t="s">
        <v>0</v>
      </c>
      <c r="P129" s="25" t="s">
        <v>0</v>
      </c>
      <c r="Q129" s="25" t="s">
        <v>0</v>
      </c>
      <c r="R129" s="25" t="s">
        <v>0</v>
      </c>
      <c r="S129" s="25">
        <v>1.43E-2</v>
      </c>
      <c r="T129" s="25">
        <v>0.13200000000000001</v>
      </c>
      <c r="U129" s="25">
        <v>3.5750000000000004E-2</v>
      </c>
      <c r="V129" s="25">
        <v>0.15400000000000003</v>
      </c>
      <c r="W129" s="25">
        <v>2.3760000000000003E-2</v>
      </c>
      <c r="X129" s="25">
        <v>0.14255999999999999</v>
      </c>
      <c r="Y129" s="25">
        <v>2.2000000000000002E-2</v>
      </c>
      <c r="Z129" s="25">
        <v>0.10450000000000001</v>
      </c>
      <c r="AA129" s="25">
        <v>2.2000000000000002E-2</v>
      </c>
      <c r="AB129" s="25">
        <v>0.13200000000000001</v>
      </c>
      <c r="AC129" s="25">
        <v>1.1000000000000001E-2</v>
      </c>
      <c r="AD129" s="25">
        <v>0.11000000000000001</v>
      </c>
      <c r="AE129" s="25">
        <v>2.1600000000000001E-2</v>
      </c>
      <c r="AF129" s="25">
        <v>0.14255999999999999</v>
      </c>
      <c r="AG129" s="25">
        <v>2.4199999999999999E-2</v>
      </c>
      <c r="AH129" s="25">
        <v>0.17600000000000002</v>
      </c>
      <c r="AI129" s="25">
        <v>3.5799999999999998E-2</v>
      </c>
      <c r="AJ129" s="25">
        <v>0.15400000000000003</v>
      </c>
      <c r="AK129" s="25">
        <v>2.4199999999999999E-2</v>
      </c>
      <c r="AL129" s="25">
        <v>0.17600000000000002</v>
      </c>
      <c r="AM129" s="25">
        <v>821263</v>
      </c>
      <c r="AN129" s="25" t="s">
        <v>830</v>
      </c>
      <c r="AO129" s="25">
        <v>116.05000000000001</v>
      </c>
      <c r="AP129" s="25">
        <v>302.5</v>
      </c>
      <c r="AQ129" s="25">
        <v>408034</v>
      </c>
      <c r="AR129" s="25">
        <v>284.90000000000003</v>
      </c>
      <c r="AS129" s="25" t="s">
        <v>878</v>
      </c>
      <c r="AT129" s="25">
        <v>493.90000000000003</v>
      </c>
      <c r="AU129" s="25"/>
      <c r="AV129" s="25"/>
      <c r="AW129" s="25"/>
      <c r="AX129" s="25">
        <v>0</v>
      </c>
      <c r="AY129" s="25">
        <v>0</v>
      </c>
      <c r="AZ129" s="25">
        <v>0</v>
      </c>
      <c r="BA129" s="25">
        <v>0</v>
      </c>
      <c r="BB129" s="25">
        <v>847.33</v>
      </c>
      <c r="BC129" s="25">
        <v>1067.33</v>
      </c>
      <c r="BD129" s="25">
        <v>902.33</v>
      </c>
      <c r="BE129" s="25">
        <v>641.63</v>
      </c>
      <c r="BF129" s="25">
        <v>1386.3300000000002</v>
      </c>
      <c r="BG129" s="25">
        <v>759.33</v>
      </c>
      <c r="BH129" s="25">
        <v>1012.33</v>
      </c>
      <c r="BI129" s="25">
        <v>1177.3300000000002</v>
      </c>
      <c r="BJ129" s="25">
        <v>1388.33</v>
      </c>
      <c r="BK129" s="25">
        <v>1177.3300000000002</v>
      </c>
      <c r="BL129" s="25" t="s">
        <v>262</v>
      </c>
      <c r="BM129" s="25" t="s">
        <v>879</v>
      </c>
      <c r="BN129" s="25" t="s">
        <v>580</v>
      </c>
      <c r="BO129" s="25">
        <v>50000</v>
      </c>
      <c r="BP129" s="25">
        <v>3000000</v>
      </c>
      <c r="BQ129" s="25" t="s">
        <v>880</v>
      </c>
      <c r="BR129" s="25" t="s">
        <v>282</v>
      </c>
      <c r="BS129" s="25"/>
      <c r="BT129" s="25" t="s">
        <v>2</v>
      </c>
      <c r="BU129" s="25" t="s">
        <v>262</v>
      </c>
      <c r="BV129" s="25" t="s">
        <v>286</v>
      </c>
      <c r="BW129" s="25" t="s">
        <v>638</v>
      </c>
      <c r="BX129" s="25" t="s">
        <v>639</v>
      </c>
      <c r="BY129" s="25" t="s">
        <v>640</v>
      </c>
      <c r="BZ129" s="25" t="s">
        <v>0</v>
      </c>
      <c r="CA129" s="25" t="s">
        <v>2</v>
      </c>
      <c r="CB129" s="25" t="s">
        <v>2</v>
      </c>
      <c r="CC129" s="25" t="s">
        <v>2</v>
      </c>
      <c r="CD129" s="25" t="s">
        <v>3</v>
      </c>
      <c r="CE129" s="25" t="s">
        <v>3</v>
      </c>
      <c r="CF129" s="25" t="s">
        <v>881</v>
      </c>
      <c r="CG129" s="25" t="s">
        <v>307</v>
      </c>
      <c r="CH129" s="25" t="s">
        <v>882</v>
      </c>
      <c r="CI129" s="25"/>
      <c r="CJ129" s="25" t="s">
        <v>1780</v>
      </c>
      <c r="CK129" s="25" t="s">
        <v>3</v>
      </c>
      <c r="CL129" s="25"/>
      <c r="CM129" s="25"/>
      <c r="CN129" s="25"/>
      <c r="CO129" s="25" t="s">
        <v>883</v>
      </c>
      <c r="CP129" s="25" t="s">
        <v>884</v>
      </c>
      <c r="CQ129" s="25" t="s">
        <v>885</v>
      </c>
      <c r="CR129" s="25" t="s">
        <v>886</v>
      </c>
      <c r="CS129" s="25"/>
      <c r="CT129" s="25"/>
      <c r="CU129" s="25">
        <v>0</v>
      </c>
      <c r="CV129" s="199">
        <f t="shared" si="19"/>
        <v>407749</v>
      </c>
      <c r="CW129" s="199" t="str">
        <f t="shared" si="20"/>
        <v>Ricoh</v>
      </c>
      <c r="CX129" s="199" t="str">
        <f>IF(Data!D129="E","Entry",IF(Data!D129="L","Low",IF(Data!D129="M","Medium","High")))</f>
        <v>High</v>
      </c>
      <c r="CY129" s="206" t="str">
        <f t="shared" si="21"/>
        <v>SFP-Colour_Ri_H_2Y</v>
      </c>
    </row>
  </sheetData>
  <autoFilter ref="A1:CY129" xr:uid="{00000000-0009-0000-0000-00000F000000}"/>
  <sortState xmlns:xlrd2="http://schemas.microsoft.com/office/spreadsheetml/2017/richdata2" ref="A2:CY130">
    <sortCondition ref="B2:B130"/>
    <sortCondition ref="C2:C130"/>
  </sortState>
  <phoneticPr fontId="38" type="noConversion"/>
  <conditionalFormatting sqref="A51:CT51">
    <cfRule type="expression" dxfId="36" priority="61">
      <formula>$H51="Not Offered"</formula>
    </cfRule>
  </conditionalFormatting>
  <conditionalFormatting sqref="A2:CY3 A4:F4 I4:CY4 A5:CY7 A8:F8 I8:CY8 A9:CY15 A16:K23 A25:CY25 A26:K26 M26:CY26 A27:CY27 A28:K28 M28:CY28 A29:CY31 A32:F32 I32:CY32 A33:CY50 A52:CY61 A62:G62 I62:CY65 A63:F65 A66:CY66 A67:K75 M67:CY75 A76:CY77 A78:F79 CU78:CY79 A80:CY97 A98:K99 M98:CY99 A100:CY101 A102:F102 I102:CY102 A103:CY113 A114:K114 M114:CY114 A115:CY115 A116:K116 M116:CY116 A117:CY119 A120:F120 I120:CY120 A121:CY122 A123:F123 I123:CY123 A124:CY129 M16:CY23 A24:F24 CU24:CY24">
    <cfRule type="expression" dxfId="35" priority="447">
      <formula>$H2="Not Offered"</formula>
    </cfRule>
  </conditionalFormatting>
  <conditionalFormatting sqref="G4:H4">
    <cfRule type="expression" dxfId="34" priority="26">
      <formula>$F4="Modify"</formula>
    </cfRule>
    <cfRule type="expression" dxfId="33" priority="27">
      <formula>$F4="Add"</formula>
    </cfRule>
    <cfRule type="expression" dxfId="32" priority="28">
      <formula>$F4="Remove"</formula>
    </cfRule>
    <cfRule type="expression" dxfId="31" priority="29">
      <formula>$F4="Substitute"</formula>
    </cfRule>
  </conditionalFormatting>
  <conditionalFormatting sqref="G8:H8">
    <cfRule type="expression" dxfId="30" priority="18">
      <formula>$F8="Modify"</formula>
    </cfRule>
    <cfRule type="expression" dxfId="29" priority="19">
      <formula>$F8="Add"</formula>
    </cfRule>
    <cfRule type="expression" dxfId="28" priority="20">
      <formula>$F8="Remove"</formula>
    </cfRule>
    <cfRule type="expression" dxfId="27" priority="21">
      <formula>$F8="Substitute"</formula>
    </cfRule>
  </conditionalFormatting>
  <conditionalFormatting sqref="G32:H32">
    <cfRule type="expression" dxfId="26" priority="52">
      <formula>$F32="Modify"</formula>
    </cfRule>
    <cfRule type="expression" dxfId="25" priority="53">
      <formula>$F32="Add"</formula>
    </cfRule>
    <cfRule type="expression" dxfId="24" priority="54">
      <formula>$F32="Remove"</formula>
    </cfRule>
    <cfRule type="expression" dxfId="23" priority="55">
      <formula>$F32="Substitute"</formula>
    </cfRule>
  </conditionalFormatting>
  <conditionalFormatting sqref="G63:H65">
    <cfRule type="expression" dxfId="22" priority="2">
      <formula>$F63="Modify"</formula>
    </cfRule>
    <cfRule type="expression" dxfId="21" priority="3">
      <formula>$F63="Add"</formula>
    </cfRule>
    <cfRule type="expression" dxfId="20" priority="4">
      <formula>$F63="Remove"</formula>
    </cfRule>
    <cfRule type="expression" dxfId="19" priority="5">
      <formula>$F63="Substitute"</formula>
    </cfRule>
  </conditionalFormatting>
  <conditionalFormatting sqref="G102:H102">
    <cfRule type="expression" dxfId="18" priority="38">
      <formula>$F102="Modify"</formula>
    </cfRule>
    <cfRule type="expression" dxfId="17" priority="39">
      <formula>$F102="Add"</formula>
    </cfRule>
    <cfRule type="expression" dxfId="16" priority="40">
      <formula>$F102="Remove"</formula>
    </cfRule>
    <cfRule type="expression" dxfId="15" priority="41">
      <formula>$F102="Substitute"</formula>
    </cfRule>
  </conditionalFormatting>
  <conditionalFormatting sqref="G120:H120">
    <cfRule type="expression" dxfId="14" priority="48">
      <formula>$F120="Modify"</formula>
    </cfRule>
    <cfRule type="expression" dxfId="13" priority="49">
      <formula>$F120="Add"</formula>
    </cfRule>
    <cfRule type="expression" dxfId="12" priority="50">
      <formula>$F120="Remove"</formula>
    </cfRule>
    <cfRule type="expression" dxfId="11" priority="51">
      <formula>$F120="Substitute"</formula>
    </cfRule>
  </conditionalFormatting>
  <conditionalFormatting sqref="G123:H123">
    <cfRule type="expression" dxfId="10" priority="44">
      <formula>$F123="Modify"</formula>
    </cfRule>
    <cfRule type="expression" dxfId="9" priority="45">
      <formula>$F123="Add"</formula>
    </cfRule>
    <cfRule type="expression" dxfId="8" priority="46">
      <formula>$F123="Remove"</formula>
    </cfRule>
    <cfRule type="expression" dxfId="7" priority="47">
      <formula>$F123="Substitute"</formula>
    </cfRule>
  </conditionalFormatting>
  <conditionalFormatting sqref="G78:CT79">
    <cfRule type="expression" dxfId="6" priority="42">
      <formula>$I78="Not Offered"</formula>
    </cfRule>
  </conditionalFormatting>
  <conditionalFormatting sqref="H62">
    <cfRule type="expression" dxfId="5" priority="14">
      <formula>$F62="Modify"</formula>
    </cfRule>
    <cfRule type="expression" dxfId="4" priority="15">
      <formula>$F62="Add"</formula>
    </cfRule>
    <cfRule type="expression" dxfId="3" priority="16">
      <formula>$F62="Remove"</formula>
    </cfRule>
    <cfRule type="expression" dxfId="2" priority="17">
      <formula>$F62="Substitute"</formula>
    </cfRule>
  </conditionalFormatting>
  <conditionalFormatting sqref="CU51:CY51">
    <cfRule type="expression" dxfId="1" priority="60">
      <formula>$H51="Not Offered"</formula>
    </cfRule>
  </conditionalFormatting>
  <conditionalFormatting sqref="G24:K24">
    <cfRule type="expression" dxfId="0" priority="1">
      <formula>$I24="Not Offered"</formula>
    </cfRule>
  </conditionalFormatting>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1:G17"/>
  <sheetViews>
    <sheetView workbookViewId="0">
      <selection activeCell="F5" sqref="F5"/>
    </sheetView>
  </sheetViews>
  <sheetFormatPr defaultColWidth="9.140625" defaultRowHeight="12.75" x14ac:dyDescent="0.2"/>
  <cols>
    <col min="1" max="1" width="16.42578125" style="165" customWidth="1"/>
    <col min="2" max="2" width="19.85546875" style="165" customWidth="1"/>
    <col min="3" max="3" width="28.42578125" style="165" customWidth="1"/>
    <col min="4" max="5" width="20.7109375" style="165" customWidth="1"/>
    <col min="6" max="6" width="23.85546875" style="165" customWidth="1"/>
    <col min="7" max="7" width="93.140625" style="165" customWidth="1"/>
    <col min="8" max="16384" width="9.140625" style="1"/>
  </cols>
  <sheetData>
    <row r="1" spans="1:7" ht="21" customHeight="1" x14ac:dyDescent="0.2">
      <c r="A1" s="183" t="s">
        <v>1807</v>
      </c>
      <c r="B1" s="183" t="s">
        <v>1808</v>
      </c>
      <c r="C1" s="183" t="s">
        <v>1809</v>
      </c>
      <c r="D1" s="183" t="s">
        <v>1813</v>
      </c>
      <c r="E1" s="183" t="s">
        <v>1814</v>
      </c>
      <c r="F1" s="183" t="s">
        <v>1810</v>
      </c>
      <c r="G1" s="183" t="s">
        <v>1820</v>
      </c>
    </row>
    <row r="2" spans="1:7" x14ac:dyDescent="0.2">
      <c r="A2" s="178">
        <v>43560</v>
      </c>
      <c r="B2" s="180" t="s">
        <v>9</v>
      </c>
      <c r="C2" s="180" t="s">
        <v>1812</v>
      </c>
      <c r="D2" s="179">
        <v>11</v>
      </c>
      <c r="E2" s="180" t="s">
        <v>3</v>
      </c>
      <c r="F2" s="180" t="s">
        <v>1811</v>
      </c>
      <c r="G2" s="180" t="s">
        <v>1811</v>
      </c>
    </row>
    <row r="3" spans="1:7" x14ac:dyDescent="0.2">
      <c r="A3" s="178">
        <v>43564</v>
      </c>
      <c r="B3" s="180" t="s">
        <v>7</v>
      </c>
      <c r="C3" s="180" t="s">
        <v>1812</v>
      </c>
      <c r="D3" s="180" t="s">
        <v>1822</v>
      </c>
      <c r="E3" s="180" t="s">
        <v>3</v>
      </c>
      <c r="F3" s="180" t="s">
        <v>1811</v>
      </c>
      <c r="G3" s="180" t="s">
        <v>1821</v>
      </c>
    </row>
    <row r="4" spans="1:7" x14ac:dyDescent="0.2">
      <c r="A4" s="192">
        <v>44013</v>
      </c>
      <c r="B4" s="180" t="s">
        <v>0</v>
      </c>
      <c r="C4" s="180" t="s">
        <v>1833</v>
      </c>
      <c r="D4" s="179"/>
      <c r="E4" s="180" t="s">
        <v>3</v>
      </c>
      <c r="F4" s="180" t="s">
        <v>1811</v>
      </c>
      <c r="G4" s="193" t="s">
        <v>1834</v>
      </c>
    </row>
    <row r="5" spans="1:7" x14ac:dyDescent="0.2">
      <c r="A5" s="178">
        <v>44082</v>
      </c>
      <c r="B5" s="180" t="s">
        <v>1967</v>
      </c>
      <c r="C5" s="179" t="s">
        <v>1964</v>
      </c>
      <c r="D5" s="179"/>
      <c r="E5" s="180" t="s">
        <v>1966</v>
      </c>
      <c r="F5" s="179" t="s">
        <v>1811</v>
      </c>
      <c r="G5" s="179" t="s">
        <v>1965</v>
      </c>
    </row>
    <row r="6" spans="1:7" x14ac:dyDescent="0.2">
      <c r="A6" s="178">
        <v>44581</v>
      </c>
      <c r="B6" s="180" t="s">
        <v>7</v>
      </c>
      <c r="C6" s="180" t="s">
        <v>1812</v>
      </c>
      <c r="D6" s="179"/>
      <c r="E6" s="180" t="s">
        <v>1966</v>
      </c>
      <c r="F6" s="180" t="s">
        <v>2052</v>
      </c>
      <c r="G6" s="180" t="s">
        <v>2053</v>
      </c>
    </row>
    <row r="7" spans="1:7" x14ac:dyDescent="0.2">
      <c r="A7" s="178">
        <v>44582</v>
      </c>
      <c r="B7" s="180" t="s">
        <v>2054</v>
      </c>
      <c r="C7" s="180" t="s">
        <v>2055</v>
      </c>
      <c r="D7" s="180" t="s">
        <v>0</v>
      </c>
      <c r="E7" s="180" t="s">
        <v>3</v>
      </c>
      <c r="F7" s="180" t="s">
        <v>1811</v>
      </c>
      <c r="G7" s="180" t="s">
        <v>2056</v>
      </c>
    </row>
    <row r="8" spans="1:7" x14ac:dyDescent="0.2">
      <c r="A8" s="178">
        <v>44749</v>
      </c>
      <c r="B8" s="180" t="s">
        <v>8</v>
      </c>
      <c r="C8" s="180" t="s">
        <v>2112</v>
      </c>
      <c r="D8" s="180" t="s">
        <v>2113</v>
      </c>
      <c r="E8" s="180" t="s">
        <v>2</v>
      </c>
      <c r="F8" s="180" t="s">
        <v>2114</v>
      </c>
      <c r="G8" s="180" t="s">
        <v>2115</v>
      </c>
    </row>
    <row r="9" spans="1:7" x14ac:dyDescent="0.2">
      <c r="A9" s="178">
        <v>45495</v>
      </c>
      <c r="B9" s="179" t="s">
        <v>2431</v>
      </c>
      <c r="C9" s="179" t="s">
        <v>2432</v>
      </c>
      <c r="D9" s="179"/>
      <c r="E9" s="179" t="s">
        <v>2</v>
      </c>
      <c r="F9" s="179" t="s">
        <v>2433</v>
      </c>
      <c r="G9" s="179" t="s">
        <v>2434</v>
      </c>
    </row>
    <row r="10" spans="1:7" x14ac:dyDescent="0.2">
      <c r="A10" s="179"/>
      <c r="B10" s="179"/>
      <c r="C10" s="179"/>
      <c r="D10" s="179"/>
      <c r="E10" s="179"/>
      <c r="F10" s="179"/>
      <c r="G10" s="179"/>
    </row>
    <row r="11" spans="1:7" x14ac:dyDescent="0.2">
      <c r="A11" s="179"/>
      <c r="B11" s="179"/>
      <c r="C11" s="179"/>
      <c r="D11" s="179"/>
      <c r="E11" s="179"/>
      <c r="F11" s="179"/>
      <c r="G11" s="179"/>
    </row>
    <row r="12" spans="1:7" x14ac:dyDescent="0.2">
      <c r="A12" s="179"/>
      <c r="B12" s="179"/>
      <c r="C12" s="179"/>
      <c r="D12" s="179"/>
      <c r="E12" s="179"/>
      <c r="F12" s="179"/>
      <c r="G12" s="179"/>
    </row>
    <row r="13" spans="1:7" x14ac:dyDescent="0.2">
      <c r="A13" s="179"/>
      <c r="B13" s="179"/>
      <c r="C13" s="179"/>
      <c r="D13" s="179"/>
      <c r="E13" s="179"/>
      <c r="F13" s="179"/>
      <c r="G13" s="179"/>
    </row>
    <row r="14" spans="1:7" x14ac:dyDescent="0.2">
      <c r="A14" s="179"/>
      <c r="B14" s="179"/>
      <c r="C14" s="179"/>
      <c r="D14" s="179"/>
      <c r="E14" s="179"/>
      <c r="F14" s="179"/>
      <c r="G14" s="179"/>
    </row>
    <row r="15" spans="1:7" x14ac:dyDescent="0.2">
      <c r="A15" s="179"/>
      <c r="B15" s="179"/>
      <c r="C15" s="179"/>
      <c r="D15" s="179"/>
      <c r="E15" s="179"/>
      <c r="F15" s="179"/>
      <c r="G15" s="179"/>
    </row>
    <row r="16" spans="1:7" x14ac:dyDescent="0.2">
      <c r="A16" s="179"/>
      <c r="B16" s="179"/>
      <c r="C16" s="179"/>
      <c r="D16" s="179"/>
      <c r="E16" s="179"/>
      <c r="F16" s="179"/>
      <c r="G16" s="179"/>
    </row>
    <row r="17" spans="1:7" x14ac:dyDescent="0.2">
      <c r="A17" s="179"/>
      <c r="B17" s="179"/>
      <c r="C17" s="179"/>
      <c r="D17" s="179"/>
      <c r="E17" s="179"/>
      <c r="F17" s="179"/>
      <c r="G17" s="17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rgb="FFBECA5F"/>
  </sheetPr>
  <dimension ref="A1:R55"/>
  <sheetViews>
    <sheetView zoomScaleNormal="100" workbookViewId="0">
      <selection activeCell="H10" sqref="H10"/>
    </sheetView>
  </sheetViews>
  <sheetFormatPr defaultColWidth="9.140625" defaultRowHeight="12.75" x14ac:dyDescent="0.2"/>
  <cols>
    <col min="1" max="1" width="11.7109375" style="165" customWidth="1"/>
    <col min="2" max="2" width="25.7109375" style="1" customWidth="1"/>
    <col min="3" max="3" width="14.28515625" style="165" customWidth="1"/>
    <col min="4" max="4" width="25.28515625" style="1" customWidth="1"/>
    <col min="5" max="5" width="21.5703125" style="1" customWidth="1"/>
    <col min="6" max="6" width="15.5703125" style="1" customWidth="1"/>
    <col min="7" max="7" width="14.85546875" style="1" customWidth="1"/>
    <col min="8" max="8" width="14.7109375" style="1" customWidth="1"/>
    <col min="9" max="9" width="10.7109375" style="1" customWidth="1"/>
    <col min="10" max="14" width="14.7109375" style="1" customWidth="1"/>
    <col min="15" max="15" width="9.5703125" style="1" bestFit="1" customWidth="1"/>
    <col min="16" max="17" width="11.140625" style="1" bestFit="1" customWidth="1"/>
    <col min="18" max="16384" width="9.140625" style="1"/>
  </cols>
  <sheetData>
    <row r="1" spans="1:18" ht="20.25" customHeight="1" x14ac:dyDescent="0.2">
      <c r="A1" s="354" t="s">
        <v>2058</v>
      </c>
      <c r="B1" s="354"/>
      <c r="C1" s="354"/>
      <c r="D1" s="354"/>
      <c r="E1" s="354"/>
      <c r="F1" s="354"/>
      <c r="G1" s="354"/>
      <c r="H1" s="354"/>
      <c r="I1" s="354"/>
      <c r="J1" s="354"/>
      <c r="K1" s="354"/>
      <c r="L1" s="354"/>
      <c r="M1" s="354"/>
      <c r="N1" s="354"/>
    </row>
    <row r="2" spans="1:18" ht="30.75" customHeight="1" x14ac:dyDescent="0.2">
      <c r="A2" s="369" t="s">
        <v>1732</v>
      </c>
      <c r="B2" s="370"/>
      <c r="C2" s="370"/>
      <c r="D2" s="370"/>
      <c r="E2" s="370"/>
      <c r="F2" s="370"/>
      <c r="G2" s="371"/>
      <c r="H2" s="372"/>
      <c r="I2" s="225">
        <f>ROW(A5)</f>
        <v>5</v>
      </c>
      <c r="J2" s="87" t="s">
        <v>1734</v>
      </c>
      <c r="K2" s="87" t="s">
        <v>1735</v>
      </c>
      <c r="L2" s="87" t="s">
        <v>1736</v>
      </c>
      <c r="M2" s="87" t="s">
        <v>2059</v>
      </c>
      <c r="N2" s="87" t="s">
        <v>2060</v>
      </c>
    </row>
    <row r="3" spans="1:18" ht="30" customHeight="1" x14ac:dyDescent="0.2">
      <c r="A3" s="72" t="s">
        <v>918</v>
      </c>
      <c r="B3" s="156" t="s">
        <v>1793</v>
      </c>
      <c r="C3" s="71" t="s">
        <v>1761</v>
      </c>
      <c r="D3" s="155">
        <v>100000</v>
      </c>
      <c r="E3" s="71" t="s">
        <v>923</v>
      </c>
      <c r="F3" s="154">
        <v>0.2</v>
      </c>
      <c r="G3" s="71" t="s">
        <v>1731</v>
      </c>
      <c r="H3" s="156" t="s">
        <v>402</v>
      </c>
      <c r="J3" s="222">
        <f>IF(AND(F3=0),"Review Filters",COUNT(tco_data!A:A))</f>
        <v>0</v>
      </c>
      <c r="K3" s="223" t="e">
        <f>IF(SUM(tco_data!O2:O129)&gt;0,AVERAGE(tco_data!O:O),"")</f>
        <v>#N/A</v>
      </c>
      <c r="L3" s="223" t="e">
        <f>MIN(tco_data!O:O)</f>
        <v>#N/A</v>
      </c>
      <c r="M3" s="223" t="e">
        <f>MAX(tco_data!O:O)</f>
        <v>#N/A</v>
      </c>
      <c r="N3" s="224" t="e">
        <f>AVERAGE(I6:I55)</f>
        <v>#DIV/0!</v>
      </c>
    </row>
    <row r="4" spans="1:18" ht="20.100000000000001" customHeight="1" x14ac:dyDescent="0.2">
      <c r="A4" s="373" t="s">
        <v>1734</v>
      </c>
      <c r="B4" s="374"/>
      <c r="C4" s="374"/>
      <c r="D4" s="374"/>
      <c r="E4" s="374"/>
      <c r="F4" s="374"/>
      <c r="G4" s="374"/>
      <c r="H4" s="374"/>
      <c r="I4" s="374"/>
      <c r="J4" s="374"/>
      <c r="K4" s="374"/>
      <c r="L4" s="374"/>
      <c r="M4" s="374"/>
      <c r="N4" s="375"/>
    </row>
    <row r="5" spans="1:18" ht="30" customHeight="1" x14ac:dyDescent="0.2">
      <c r="A5" s="70" t="s">
        <v>1737</v>
      </c>
      <c r="B5" s="70" t="s">
        <v>906</v>
      </c>
      <c r="C5" s="70" t="s">
        <v>1743</v>
      </c>
      <c r="D5" s="70" t="s">
        <v>42</v>
      </c>
      <c r="E5" s="70" t="s">
        <v>1731</v>
      </c>
      <c r="F5" s="70" t="s">
        <v>1746</v>
      </c>
      <c r="G5" s="70" t="s">
        <v>2057</v>
      </c>
      <c r="H5" s="70" t="s">
        <v>1747</v>
      </c>
      <c r="I5" s="70" t="s">
        <v>1709</v>
      </c>
      <c r="J5" s="70" t="s">
        <v>1744</v>
      </c>
      <c r="K5" s="70" t="s">
        <v>1745</v>
      </c>
      <c r="L5" s="70" t="s">
        <v>33</v>
      </c>
      <c r="M5" s="70" t="s">
        <v>30</v>
      </c>
      <c r="N5" s="70" t="s">
        <v>31</v>
      </c>
    </row>
    <row r="6" spans="1:18" ht="20.100000000000001" customHeight="1" x14ac:dyDescent="0.2">
      <c r="A6" s="169" t="str">
        <f t="shared" ref="A6:A39" si="0">IF($J$3="Review Filters","",IF(ROW()-$I$2&lt;($J$3+1),ROW()-$I$2,""))</f>
        <v/>
      </c>
      <c r="B6" s="170" t="str">
        <f>IF(A6="","",VLOOKUP($A6,tco_data!$A:$C,3,FALSE))</f>
        <v/>
      </c>
      <c r="C6" s="221" t="str">
        <f>IF(A6="","",VLOOKUP($A6,tco_data!$A:$O,15,FALSE))</f>
        <v/>
      </c>
      <c r="D6" s="219" t="str">
        <f>IF(A6="","",VLOOKUP($A6,tco_data!$A:$E,5,FALSE))</f>
        <v/>
      </c>
      <c r="E6" s="213" t="str">
        <f>IF(A6="","",VLOOKUP($A6,tco_data!$A:$E,4,FALSE)&amp;" - "&amp;VLOOKUP($A6,tco_data!$A:$F,6,FALSE))</f>
        <v/>
      </c>
      <c r="F6" s="171" t="str">
        <f>IF(A6="","",VLOOKUP($A6,tco_data!$A:$O,12,FALSE))</f>
        <v/>
      </c>
      <c r="G6" s="212" t="str">
        <f>IF(A6="","",VLOOKUP($A6,tco_data!$A:$O,9,FALSE))</f>
        <v/>
      </c>
      <c r="H6" s="171" t="str">
        <f>IF(A6="","",VLOOKUP($A6,tco_data!$A:$O,13,FALSE)+VLOOKUP($A6,tco_data!$A:$O,14,FALSE))</f>
        <v/>
      </c>
      <c r="I6" s="215" t="str">
        <f t="shared" ref="I6:I37" si="1">IF(A6="","",H6/C6)</f>
        <v/>
      </c>
      <c r="J6" s="28" t="str">
        <f>IF($A6="","",VLOOKUP($A6,tco_data!$A:$O,10,FALSE))</f>
        <v/>
      </c>
      <c r="K6" s="217" t="str">
        <f>IF($A6="","",VLOOKUP($A6,tco_data!$A:$O,11,FALSE))</f>
        <v/>
      </c>
      <c r="L6" s="172" t="str">
        <f>IF($B6="","",VLOOKUP($B6,Data!$H:$BB,2,FALSE))</f>
        <v/>
      </c>
      <c r="M6" s="218" t="str">
        <f>IF($B6="","",VLOOKUP($B6,Data!$H:$BB,3,FALSE))</f>
        <v/>
      </c>
      <c r="N6" s="172" t="str">
        <f>IF($B6="","",VLOOKUP($B6,Data!$H:$BB,4,FALSE))</f>
        <v/>
      </c>
      <c r="O6" s="196"/>
      <c r="P6" s="196"/>
      <c r="Q6" s="196"/>
      <c r="R6" s="196"/>
    </row>
    <row r="7" spans="1:18" ht="20.100000000000001" customHeight="1" x14ac:dyDescent="0.2">
      <c r="A7" s="169" t="str">
        <f t="shared" si="0"/>
        <v/>
      </c>
      <c r="B7" s="167" t="str">
        <f>IF(A7="","",VLOOKUP($A7,tco_data!$A:$C,3,FALSE))</f>
        <v/>
      </c>
      <c r="C7" s="221" t="str">
        <f>IF(A7="","",VLOOKUP($A7,tco_data!$A:$O,15,FALSE))</f>
        <v/>
      </c>
      <c r="D7" s="220" t="str">
        <f>IF(A7="","",VLOOKUP($A7,tco_data!$A:$E,5,FALSE))</f>
        <v/>
      </c>
      <c r="E7" s="214" t="str">
        <f>IF(A7="","",VLOOKUP($A7,tco_data!$A:$E,4,FALSE)&amp;" - "&amp;VLOOKUP($A7,tco_data!$A:$F,6,FALSE))</f>
        <v/>
      </c>
      <c r="F7" s="171" t="str">
        <f>IF(A7="","",VLOOKUP($A7,tco_data!$A:$O,12,FALSE))</f>
        <v/>
      </c>
      <c r="G7" s="212" t="str">
        <f>IF(A7="","",VLOOKUP($A7,tco_data!$A:$O,9,FALSE))</f>
        <v/>
      </c>
      <c r="H7" s="168" t="str">
        <f>IF(A7="","",VLOOKUP($A7,tco_data!$A:$O,13,FALSE)+VLOOKUP($A7,tco_data!$A:$O,14,FALSE))</f>
        <v/>
      </c>
      <c r="I7" s="216" t="str">
        <f t="shared" si="1"/>
        <v/>
      </c>
      <c r="J7" s="28" t="str">
        <f>IF($A7="","",VLOOKUP($A7,tco_data!$A:$O,10,FALSE))</f>
        <v/>
      </c>
      <c r="K7" s="217" t="str">
        <f>IF($A7="","",VLOOKUP($A7,tco_data!$A:$O,11,FALSE))</f>
        <v/>
      </c>
      <c r="L7" s="172" t="str">
        <f>IF($B7="","",VLOOKUP($B7,Data!$H:$BB,2,FALSE))</f>
        <v/>
      </c>
      <c r="M7" s="218" t="str">
        <f>IF($B7="","",VLOOKUP($B7,Data!$H:$BB,3,FALSE))</f>
        <v/>
      </c>
      <c r="N7" s="172" t="str">
        <f>IF($B7="","",VLOOKUP($B7,Data!$H:$BB,4,FALSE))</f>
        <v/>
      </c>
    </row>
    <row r="8" spans="1:18" ht="20.100000000000001" customHeight="1" x14ac:dyDescent="0.2">
      <c r="A8" s="169" t="str">
        <f t="shared" si="0"/>
        <v/>
      </c>
      <c r="B8" s="167" t="str">
        <f>IF(A8="","",VLOOKUP($A8,tco_data!$A:$C,3,FALSE))</f>
        <v/>
      </c>
      <c r="C8" s="221" t="str">
        <f>IF(A8="","",VLOOKUP($A8,tco_data!$A:$O,15,FALSE))</f>
        <v/>
      </c>
      <c r="D8" s="220" t="str">
        <f>IF(A8="","",VLOOKUP($A8,tco_data!$A:$E,5,FALSE))</f>
        <v/>
      </c>
      <c r="E8" s="214" t="str">
        <f>IF(A8="","",VLOOKUP($A8,tco_data!$A:$E,4,FALSE)&amp;" - "&amp;VLOOKUP($A8,tco_data!$A:$F,6,FALSE))</f>
        <v/>
      </c>
      <c r="F8" s="171" t="str">
        <f>IF(A8="","",VLOOKUP($A8,tco_data!$A:$O,12,FALSE))</f>
        <v/>
      </c>
      <c r="G8" s="212" t="str">
        <f>IF(A8="","",VLOOKUP($A8,tco_data!$A:$O,9,FALSE))</f>
        <v/>
      </c>
      <c r="H8" s="168" t="str">
        <f>IF(A8="","",VLOOKUP($A8,tco_data!$A:$O,13,FALSE)+VLOOKUP($A8,tco_data!$A:$O,14,FALSE))</f>
        <v/>
      </c>
      <c r="I8" s="216" t="str">
        <f t="shared" si="1"/>
        <v/>
      </c>
      <c r="J8" s="28" t="str">
        <f>IF($A8="","",VLOOKUP($A8,tco_data!$A:$O,10,FALSE))</f>
        <v/>
      </c>
      <c r="K8" s="217" t="str">
        <f>IF($A8="","",VLOOKUP($A8,tco_data!$A:$O,11,FALSE))</f>
        <v/>
      </c>
      <c r="L8" s="172" t="str">
        <f>IF($B8="","",VLOOKUP($B8,Data!$H:$BB,2,FALSE))</f>
        <v/>
      </c>
      <c r="M8" s="218" t="str">
        <f>IF($B8="","",VLOOKUP($B8,Data!$H:$BB,3,FALSE))</f>
        <v/>
      </c>
      <c r="N8" s="172" t="str">
        <f>IF($B8="","",VLOOKUP($B8,Data!$H:$BB,4,FALSE))</f>
        <v/>
      </c>
    </row>
    <row r="9" spans="1:18" ht="20.100000000000001" customHeight="1" x14ac:dyDescent="0.2">
      <c r="A9" s="169" t="str">
        <f t="shared" si="0"/>
        <v/>
      </c>
      <c r="B9" s="167" t="str">
        <f>IF(A9="","",VLOOKUP($A9,tco_data!$A:$C,3,FALSE))</f>
        <v/>
      </c>
      <c r="C9" s="221" t="str">
        <f>IF(A9="","",VLOOKUP($A9,tco_data!$A:$O,15,FALSE))</f>
        <v/>
      </c>
      <c r="D9" s="220" t="str">
        <f>IF(A9="","",VLOOKUP($A9,tco_data!$A:$E,5,FALSE))</f>
        <v/>
      </c>
      <c r="E9" s="214" t="str">
        <f>IF(A9="","",VLOOKUP($A9,tco_data!$A:$E,4,FALSE)&amp;" - "&amp;VLOOKUP($A9,tco_data!$A:$F,6,FALSE))</f>
        <v/>
      </c>
      <c r="F9" s="171" t="str">
        <f>IF(A9="","",VLOOKUP($A9,tco_data!$A:$O,12,FALSE))</f>
        <v/>
      </c>
      <c r="G9" s="212" t="str">
        <f>IF(A9="","",VLOOKUP($A9,tco_data!$A:$O,9,FALSE))</f>
        <v/>
      </c>
      <c r="H9" s="168" t="str">
        <f>IF(A9="","",VLOOKUP($A9,tco_data!$A:$O,13,FALSE)+VLOOKUP($A9,tco_data!$A:$O,14,FALSE))</f>
        <v/>
      </c>
      <c r="I9" s="216" t="str">
        <f t="shared" si="1"/>
        <v/>
      </c>
      <c r="J9" s="28" t="str">
        <f>IF($A9="","",VLOOKUP($A9,tco_data!$A:$O,10,FALSE))</f>
        <v/>
      </c>
      <c r="K9" s="217" t="str">
        <f>IF($A9="","",VLOOKUP($A9,tco_data!$A:$O,11,FALSE))</f>
        <v/>
      </c>
      <c r="L9" s="172" t="str">
        <f>IF($B9="","",VLOOKUP($B9,Data!$H:$BB,2,FALSE))</f>
        <v/>
      </c>
      <c r="M9" s="218" t="str">
        <f>IF($B9="","",VLOOKUP($B9,Data!$H:$BB,3,FALSE))</f>
        <v/>
      </c>
      <c r="N9" s="172" t="str">
        <f>IF($B9="","",VLOOKUP($B9,Data!$H:$BB,4,FALSE))</f>
        <v/>
      </c>
    </row>
    <row r="10" spans="1:18" ht="20.100000000000001" customHeight="1" x14ac:dyDescent="0.2">
      <c r="A10" s="169" t="str">
        <f t="shared" si="0"/>
        <v/>
      </c>
      <c r="B10" s="167" t="str">
        <f>IF(A10="","",VLOOKUP($A10,tco_data!$A:$C,3,FALSE))</f>
        <v/>
      </c>
      <c r="C10" s="221" t="str">
        <f>IF(A10="","",VLOOKUP($A10,tco_data!$A:$O,15,FALSE))</f>
        <v/>
      </c>
      <c r="D10" s="220" t="str">
        <f>IF(A10="","",VLOOKUP($A10,tco_data!$A:$E,5,FALSE))</f>
        <v/>
      </c>
      <c r="E10" s="214" t="str">
        <f>IF(A10="","",VLOOKUP($A10,tco_data!$A:$E,4,FALSE)&amp;" - "&amp;VLOOKUP($A10,tco_data!$A:$F,6,FALSE))</f>
        <v/>
      </c>
      <c r="F10" s="171" t="str">
        <f>IF(A10="","",VLOOKUP($A10,tco_data!$A:$O,12,FALSE))</f>
        <v/>
      </c>
      <c r="G10" s="212" t="str">
        <f>IF(A10="","",VLOOKUP($A10,tco_data!$A:$O,9,FALSE))</f>
        <v/>
      </c>
      <c r="H10" s="168" t="str">
        <f>IF(A10="","",VLOOKUP($A10,tco_data!$A:$O,13,FALSE)+VLOOKUP($A10,tco_data!$A:$O,14,FALSE))</f>
        <v/>
      </c>
      <c r="I10" s="216" t="str">
        <f t="shared" si="1"/>
        <v/>
      </c>
      <c r="J10" s="28" t="str">
        <f>IF($A10="","",VLOOKUP($A10,tco_data!$A:$O,10,FALSE))</f>
        <v/>
      </c>
      <c r="K10" s="217" t="str">
        <f>IF($A10="","",VLOOKUP($A10,tco_data!$A:$O,11,FALSE))</f>
        <v/>
      </c>
      <c r="L10" s="172" t="str">
        <f>IF($B10="","",VLOOKUP($B10,Data!$H:$BB,2,FALSE))</f>
        <v/>
      </c>
      <c r="M10" s="218" t="str">
        <f>IF($B10="","",VLOOKUP($B10,Data!$H:$BB,3,FALSE))</f>
        <v/>
      </c>
      <c r="N10" s="172" t="str">
        <f>IF($B10="","",VLOOKUP($B10,Data!$H:$BB,4,FALSE))</f>
        <v/>
      </c>
    </row>
    <row r="11" spans="1:18" ht="20.100000000000001" customHeight="1" x14ac:dyDescent="0.2">
      <c r="A11" s="169" t="str">
        <f t="shared" si="0"/>
        <v/>
      </c>
      <c r="B11" s="167" t="str">
        <f>IF(A11="","",VLOOKUP($A11,tco_data!$A:$C,3,FALSE))</f>
        <v/>
      </c>
      <c r="C11" s="221" t="str">
        <f>IF(A11="","",VLOOKUP($A11,tco_data!$A:$O,15,FALSE))</f>
        <v/>
      </c>
      <c r="D11" s="220" t="str">
        <f>IF(A11="","",VLOOKUP($A11,tco_data!$A:$E,5,FALSE))</f>
        <v/>
      </c>
      <c r="E11" s="214" t="str">
        <f>IF(A11="","",VLOOKUP($A11,tco_data!$A:$E,4,FALSE)&amp;" - "&amp;VLOOKUP($A11,tco_data!$A:$F,6,FALSE))</f>
        <v/>
      </c>
      <c r="F11" s="171" t="str">
        <f>IF(A11="","",VLOOKUP($A11,tco_data!$A:$O,12,FALSE))</f>
        <v/>
      </c>
      <c r="G11" s="212" t="str">
        <f>IF(A11="","",VLOOKUP($A11,tco_data!$A:$O,9,FALSE))</f>
        <v/>
      </c>
      <c r="H11" s="168" t="str">
        <f>IF(A11="","",VLOOKUP($A11,tco_data!$A:$O,13,FALSE)+VLOOKUP($A11,tco_data!$A:$O,14,FALSE))</f>
        <v/>
      </c>
      <c r="I11" s="216" t="str">
        <f t="shared" si="1"/>
        <v/>
      </c>
      <c r="J11" s="28" t="str">
        <f>IF($A11="","",VLOOKUP($A11,tco_data!$A:$O,10,FALSE))</f>
        <v/>
      </c>
      <c r="K11" s="217" t="str">
        <f>IF($A11="","",VLOOKUP($A11,tco_data!$A:$O,11,FALSE))</f>
        <v/>
      </c>
      <c r="L11" s="172" t="str">
        <f>IF($B11="","",VLOOKUP($B11,Data!$H:$BB,2,FALSE))</f>
        <v/>
      </c>
      <c r="M11" s="218" t="str">
        <f>IF($B11="","",VLOOKUP($B11,Data!$H:$BB,3,FALSE))</f>
        <v/>
      </c>
      <c r="N11" s="172" t="str">
        <f>IF($B11="","",VLOOKUP($B11,Data!$H:$BB,4,FALSE))</f>
        <v/>
      </c>
    </row>
    <row r="12" spans="1:18" ht="20.100000000000001" customHeight="1" x14ac:dyDescent="0.2">
      <c r="A12" s="169" t="str">
        <f t="shared" si="0"/>
        <v/>
      </c>
      <c r="B12" s="167" t="str">
        <f>IF(A12="","",VLOOKUP($A12,tco_data!$A:$C,3,FALSE))</f>
        <v/>
      </c>
      <c r="C12" s="221" t="str">
        <f>IF(A12="","",VLOOKUP($A12,tco_data!$A:$O,15,FALSE))</f>
        <v/>
      </c>
      <c r="D12" s="220" t="str">
        <f>IF(A12="","",VLOOKUP($A12,tco_data!$A:$E,5,FALSE))</f>
        <v/>
      </c>
      <c r="E12" s="214" t="str">
        <f>IF(A12="","",VLOOKUP($A12,tco_data!$A:$E,4,FALSE)&amp;" - "&amp;VLOOKUP($A12,tco_data!$A:$F,6,FALSE))</f>
        <v/>
      </c>
      <c r="F12" s="171" t="str">
        <f>IF(A12="","",VLOOKUP($A12,tco_data!$A:$O,12,FALSE))</f>
        <v/>
      </c>
      <c r="G12" s="212" t="str">
        <f>IF(A12="","",VLOOKUP($A12,tco_data!$A:$O,9,FALSE))</f>
        <v/>
      </c>
      <c r="H12" s="168" t="str">
        <f>IF(A12="","",VLOOKUP($A12,tco_data!$A:$O,13,FALSE)+VLOOKUP($A12,tco_data!$A:$O,14,FALSE))</f>
        <v/>
      </c>
      <c r="I12" s="216" t="str">
        <f t="shared" si="1"/>
        <v/>
      </c>
      <c r="J12" s="28" t="str">
        <f>IF($A12="","",VLOOKUP($A12,tco_data!$A:$O,10,FALSE))</f>
        <v/>
      </c>
      <c r="K12" s="217" t="str">
        <f>IF($A12="","",VLOOKUP($A12,tco_data!$A:$O,11,FALSE))</f>
        <v/>
      </c>
      <c r="L12" s="172" t="str">
        <f>IF($B12="","",VLOOKUP($B12,Data!$H:$BB,2,FALSE))</f>
        <v/>
      </c>
      <c r="M12" s="218" t="str">
        <f>IF($B12="","",VLOOKUP($B12,Data!$H:$BB,3,FALSE))</f>
        <v/>
      </c>
      <c r="N12" s="172" t="str">
        <f>IF($B12="","",VLOOKUP($B12,Data!$H:$BB,4,FALSE))</f>
        <v/>
      </c>
    </row>
    <row r="13" spans="1:18" ht="20.100000000000001" customHeight="1" x14ac:dyDescent="0.2">
      <c r="A13" s="169" t="str">
        <f t="shared" si="0"/>
        <v/>
      </c>
      <c r="B13" s="167" t="str">
        <f>IF(A13="","",VLOOKUP($A13,tco_data!$A:$C,3,FALSE))</f>
        <v/>
      </c>
      <c r="C13" s="221" t="str">
        <f>IF(A13="","",VLOOKUP($A13,tco_data!$A:$O,15,FALSE))</f>
        <v/>
      </c>
      <c r="D13" s="220" t="str">
        <f>IF(A13="","",VLOOKUP($A13,tco_data!$A:$E,5,FALSE))</f>
        <v/>
      </c>
      <c r="E13" s="214" t="str">
        <f>IF(A13="","",VLOOKUP($A13,tco_data!$A:$E,4,FALSE)&amp;" - "&amp;VLOOKUP($A13,tco_data!$A:$F,6,FALSE))</f>
        <v/>
      </c>
      <c r="F13" s="171" t="str">
        <f>IF(A13="","",VLOOKUP($A13,tco_data!$A:$O,12,FALSE))</f>
        <v/>
      </c>
      <c r="G13" s="212" t="str">
        <f>IF(A13="","",VLOOKUP($A13,tco_data!$A:$O,9,FALSE))</f>
        <v/>
      </c>
      <c r="H13" s="168" t="str">
        <f>IF(A13="","",VLOOKUP($A13,tco_data!$A:$O,13,FALSE)+VLOOKUP($A13,tco_data!$A:$O,14,FALSE))</f>
        <v/>
      </c>
      <c r="I13" s="216" t="str">
        <f t="shared" si="1"/>
        <v/>
      </c>
      <c r="J13" s="28" t="str">
        <f>IF($A13="","",VLOOKUP($A13,tco_data!$A:$O,10,FALSE))</f>
        <v/>
      </c>
      <c r="K13" s="217" t="str">
        <f>IF($A13="","",VLOOKUP($A13,tco_data!$A:$O,11,FALSE))</f>
        <v/>
      </c>
      <c r="L13" s="172" t="str">
        <f>IF($B13="","",VLOOKUP($B13,Data!$H:$BB,2,FALSE))</f>
        <v/>
      </c>
      <c r="M13" s="218" t="str">
        <f>IF($B13="","",VLOOKUP($B13,Data!$H:$BB,3,FALSE))</f>
        <v/>
      </c>
      <c r="N13" s="172" t="str">
        <f>IF($B13="","",VLOOKUP($B13,Data!$H:$BB,4,FALSE))</f>
        <v/>
      </c>
    </row>
    <row r="14" spans="1:18" ht="20.100000000000001" customHeight="1" x14ac:dyDescent="0.2">
      <c r="A14" s="169" t="str">
        <f t="shared" si="0"/>
        <v/>
      </c>
      <c r="B14" s="167" t="str">
        <f>IF(A14="","",VLOOKUP($A14,tco_data!$A:$C,3,FALSE))</f>
        <v/>
      </c>
      <c r="C14" s="221" t="str">
        <f>IF(A14="","",VLOOKUP($A14,tco_data!$A:$O,15,FALSE))</f>
        <v/>
      </c>
      <c r="D14" s="220" t="str">
        <f>IF(A14="","",VLOOKUP($A14,tco_data!$A:$E,5,FALSE))</f>
        <v/>
      </c>
      <c r="E14" s="214" t="str">
        <f>IF(A14="","",VLOOKUP($A14,tco_data!$A:$E,4,FALSE)&amp;" - "&amp;VLOOKUP($A14,tco_data!$A:$F,6,FALSE))</f>
        <v/>
      </c>
      <c r="F14" s="171" t="str">
        <f>IF(A14="","",VLOOKUP($A14,tco_data!$A:$O,12,FALSE))</f>
        <v/>
      </c>
      <c r="G14" s="212" t="str">
        <f>IF(A14="","",VLOOKUP($A14,tco_data!$A:$O,9,FALSE))</f>
        <v/>
      </c>
      <c r="H14" s="168" t="str">
        <f>IF(A14="","",VLOOKUP($A14,tco_data!$A:$O,13,FALSE)+VLOOKUP($A14,tco_data!$A:$O,14,FALSE))</f>
        <v/>
      </c>
      <c r="I14" s="216" t="str">
        <f t="shared" si="1"/>
        <v/>
      </c>
      <c r="J14" s="28" t="str">
        <f>IF($A14="","",VLOOKUP($A14,tco_data!$A:$O,10,FALSE))</f>
        <v/>
      </c>
      <c r="K14" s="217" t="str">
        <f>IF($A14="","",VLOOKUP($A14,tco_data!$A:$O,11,FALSE))</f>
        <v/>
      </c>
      <c r="L14" s="172" t="str">
        <f>IF($B14="","",VLOOKUP($B14,Data!$H:$BB,2,FALSE))</f>
        <v/>
      </c>
      <c r="M14" s="218" t="str">
        <f>IF($B14="","",VLOOKUP($B14,Data!$H:$BB,3,FALSE))</f>
        <v/>
      </c>
      <c r="N14" s="172" t="str">
        <f>IF($B14="","",VLOOKUP($B14,Data!$H:$BB,4,FALSE))</f>
        <v/>
      </c>
    </row>
    <row r="15" spans="1:18" ht="20.100000000000001" customHeight="1" x14ac:dyDescent="0.2">
      <c r="A15" s="169" t="str">
        <f t="shared" si="0"/>
        <v/>
      </c>
      <c r="B15" s="167" t="str">
        <f>IF(A15="","",VLOOKUP($A15,tco_data!$A:$C,3,FALSE))</f>
        <v/>
      </c>
      <c r="C15" s="221" t="str">
        <f>IF(A15="","",VLOOKUP($A15,tco_data!$A:$O,15,FALSE))</f>
        <v/>
      </c>
      <c r="D15" s="220" t="str">
        <f>IF(A15="","",VLOOKUP($A15,tco_data!$A:$E,5,FALSE))</f>
        <v/>
      </c>
      <c r="E15" s="214" t="str">
        <f>IF(A15="","",VLOOKUP($A15,tco_data!$A:$E,4,FALSE)&amp;" - "&amp;VLOOKUP($A15,tco_data!$A:$F,6,FALSE))</f>
        <v/>
      </c>
      <c r="F15" s="171" t="str">
        <f>IF(A15="","",VLOOKUP($A15,tco_data!$A:$O,12,FALSE))</f>
        <v/>
      </c>
      <c r="G15" s="212" t="str">
        <f>IF(A15="","",VLOOKUP($A15,tco_data!$A:$O,9,FALSE))</f>
        <v/>
      </c>
      <c r="H15" s="168" t="str">
        <f>IF(A15="","",VLOOKUP($A15,tco_data!$A:$O,13,FALSE)+VLOOKUP($A15,tco_data!$A:$O,14,FALSE))</f>
        <v/>
      </c>
      <c r="I15" s="216" t="str">
        <f t="shared" si="1"/>
        <v/>
      </c>
      <c r="J15" s="28" t="str">
        <f>IF($A15="","",VLOOKUP($A15,tco_data!$A:$O,10,FALSE))</f>
        <v/>
      </c>
      <c r="K15" s="217" t="str">
        <f>IF($A15="","",VLOOKUP($A15,tco_data!$A:$O,11,FALSE))</f>
        <v/>
      </c>
      <c r="L15" s="172" t="str">
        <f>IF($B15="","",VLOOKUP($B15,Data!$H:$BB,2,FALSE))</f>
        <v/>
      </c>
      <c r="M15" s="218" t="str">
        <f>IF($B15="","",VLOOKUP($B15,Data!$H:$BB,3,FALSE))</f>
        <v/>
      </c>
      <c r="N15" s="172" t="str">
        <f>IF($B15="","",VLOOKUP($B15,Data!$H:$BB,4,FALSE))</f>
        <v/>
      </c>
    </row>
    <row r="16" spans="1:18" ht="20.100000000000001" customHeight="1" x14ac:dyDescent="0.2">
      <c r="A16" s="169" t="str">
        <f t="shared" si="0"/>
        <v/>
      </c>
      <c r="B16" s="167" t="str">
        <f>IF(A16="","",VLOOKUP($A16,tco_data!$A:$C,3,FALSE))</f>
        <v/>
      </c>
      <c r="C16" s="221" t="str">
        <f>IF(A16="","",VLOOKUP($A16,tco_data!$A:$O,15,FALSE))</f>
        <v/>
      </c>
      <c r="D16" s="220" t="str">
        <f>IF(A16="","",VLOOKUP($A16,tco_data!$A:$E,5,FALSE))</f>
        <v/>
      </c>
      <c r="E16" s="214" t="str">
        <f>IF(A16="","",VLOOKUP($A16,tco_data!$A:$E,4,FALSE)&amp;" - "&amp;VLOOKUP($A16,tco_data!$A:$F,6,FALSE))</f>
        <v/>
      </c>
      <c r="F16" s="171" t="str">
        <f>IF(A16="","",VLOOKUP($A16,tco_data!$A:$O,12,FALSE))</f>
        <v/>
      </c>
      <c r="G16" s="212" t="str">
        <f>IF(A16="","",VLOOKUP($A16,tco_data!$A:$O,9,FALSE))</f>
        <v/>
      </c>
      <c r="H16" s="168" t="str">
        <f>IF(A16="","",VLOOKUP($A16,tco_data!$A:$O,13,FALSE)+VLOOKUP($A16,tco_data!$A:$O,14,FALSE))</f>
        <v/>
      </c>
      <c r="I16" s="216" t="str">
        <f t="shared" si="1"/>
        <v/>
      </c>
      <c r="J16" s="28" t="str">
        <f>IF($A16="","",VLOOKUP($A16,tco_data!$A:$O,10,FALSE))</f>
        <v/>
      </c>
      <c r="K16" s="217" t="str">
        <f>IF($A16="","",VLOOKUP($A16,tco_data!$A:$O,11,FALSE))</f>
        <v/>
      </c>
      <c r="L16" s="172" t="str">
        <f>IF($B16="","",VLOOKUP($B16,Data!$H:$BB,2,FALSE))</f>
        <v/>
      </c>
      <c r="M16" s="218" t="str">
        <f>IF($B16="","",VLOOKUP($B16,Data!$H:$BB,3,FALSE))</f>
        <v/>
      </c>
      <c r="N16" s="172" t="str">
        <f>IF($B16="","",VLOOKUP($B16,Data!$H:$BB,4,FALSE))</f>
        <v/>
      </c>
    </row>
    <row r="17" spans="1:14" ht="20.100000000000001" customHeight="1" x14ac:dyDescent="0.2">
      <c r="A17" s="169" t="str">
        <f t="shared" si="0"/>
        <v/>
      </c>
      <c r="B17" s="167" t="str">
        <f>IF(A17="","",VLOOKUP($A17,tco_data!$A:$C,3,FALSE))</f>
        <v/>
      </c>
      <c r="C17" s="221" t="str">
        <f>IF(A17="","",VLOOKUP($A17,tco_data!$A:$O,15,FALSE))</f>
        <v/>
      </c>
      <c r="D17" s="220" t="str">
        <f>IF(A17="","",VLOOKUP($A17,tco_data!$A:$E,5,FALSE))</f>
        <v/>
      </c>
      <c r="E17" s="214" t="str">
        <f>IF(A17="","",VLOOKUP($A17,tco_data!$A:$E,4,FALSE)&amp;" - "&amp;VLOOKUP($A17,tco_data!$A:$F,6,FALSE))</f>
        <v/>
      </c>
      <c r="F17" s="171" t="str">
        <f>IF(A17="","",VLOOKUP($A17,tco_data!$A:$O,12,FALSE))</f>
        <v/>
      </c>
      <c r="G17" s="212" t="str">
        <f>IF(A17="","",VLOOKUP($A17,tco_data!$A:$O,9,FALSE))</f>
        <v/>
      </c>
      <c r="H17" s="168" t="str">
        <f>IF(A17="","",VLOOKUP($A17,tco_data!$A:$O,13,FALSE)+VLOOKUP($A17,tco_data!$A:$O,14,FALSE))</f>
        <v/>
      </c>
      <c r="I17" s="216" t="str">
        <f t="shared" si="1"/>
        <v/>
      </c>
      <c r="J17" s="28" t="str">
        <f>IF($A17="","",VLOOKUP($A17,tco_data!$A:$O,10,FALSE))</f>
        <v/>
      </c>
      <c r="K17" s="217" t="str">
        <f>IF($A17="","",VLOOKUP($A17,tco_data!$A:$O,11,FALSE))</f>
        <v/>
      </c>
      <c r="L17" s="172" t="str">
        <f>IF($B17="","",VLOOKUP($B17,Data!$H:$BB,2,FALSE))</f>
        <v/>
      </c>
      <c r="M17" s="218" t="str">
        <f>IF($B17="","",VLOOKUP($B17,Data!$H:$BB,3,FALSE))</f>
        <v/>
      </c>
      <c r="N17" s="172" t="str">
        <f>IF($B17="","",VLOOKUP($B17,Data!$H:$BB,4,FALSE))</f>
        <v/>
      </c>
    </row>
    <row r="18" spans="1:14" ht="20.100000000000001" customHeight="1" x14ac:dyDescent="0.2">
      <c r="A18" s="169" t="str">
        <f t="shared" si="0"/>
        <v/>
      </c>
      <c r="B18" s="167" t="str">
        <f>IF(A18="","",VLOOKUP($A18,tco_data!$A:$C,3,FALSE))</f>
        <v/>
      </c>
      <c r="C18" s="221" t="str">
        <f>IF(A18="","",VLOOKUP($A18,tco_data!$A:$O,15,FALSE))</f>
        <v/>
      </c>
      <c r="D18" s="220" t="str">
        <f>IF(A18="","",VLOOKUP($A18,tco_data!$A:$E,5,FALSE))</f>
        <v/>
      </c>
      <c r="E18" s="214" t="str">
        <f>IF(A18="","",VLOOKUP($A18,tco_data!$A:$E,4,FALSE)&amp;" - "&amp;VLOOKUP($A18,tco_data!$A:$F,6,FALSE))</f>
        <v/>
      </c>
      <c r="F18" s="171" t="str">
        <f>IF(A18="","",VLOOKUP($A18,tco_data!$A:$O,12,FALSE))</f>
        <v/>
      </c>
      <c r="G18" s="212" t="str">
        <f>IF(A18="","",VLOOKUP($A18,tco_data!$A:$O,9,FALSE))</f>
        <v/>
      </c>
      <c r="H18" s="168" t="str">
        <f>IF(A18="","",VLOOKUP($A18,tco_data!$A:$O,13,FALSE)+VLOOKUP($A18,tco_data!$A:$O,14,FALSE))</f>
        <v/>
      </c>
      <c r="I18" s="216" t="str">
        <f t="shared" si="1"/>
        <v/>
      </c>
      <c r="J18" s="28" t="str">
        <f>IF($A18="","",VLOOKUP($A18,tco_data!$A:$O,10,FALSE))</f>
        <v/>
      </c>
      <c r="K18" s="217" t="str">
        <f>IF($A18="","",VLOOKUP($A18,tco_data!$A:$O,11,FALSE))</f>
        <v/>
      </c>
      <c r="L18" s="172" t="str">
        <f>IF($B18="","",VLOOKUP($B18,Data!$H:$BB,2,FALSE))</f>
        <v/>
      </c>
      <c r="M18" s="218" t="str">
        <f>IF($B18="","",VLOOKUP($B18,Data!$H:$BB,3,FALSE))</f>
        <v/>
      </c>
      <c r="N18" s="172" t="str">
        <f>IF($B18="","",VLOOKUP($B18,Data!$H:$BB,4,FALSE))</f>
        <v/>
      </c>
    </row>
    <row r="19" spans="1:14" ht="20.100000000000001" customHeight="1" x14ac:dyDescent="0.2">
      <c r="A19" s="169" t="str">
        <f t="shared" si="0"/>
        <v/>
      </c>
      <c r="B19" s="167" t="str">
        <f>IF(A19="","",VLOOKUP($A19,tco_data!$A:$C,3,FALSE))</f>
        <v/>
      </c>
      <c r="C19" s="221" t="str">
        <f>IF(A19="","",VLOOKUP($A19,tco_data!$A:$O,15,FALSE))</f>
        <v/>
      </c>
      <c r="D19" s="220" t="str">
        <f>IF(A19="","",VLOOKUP($A19,tco_data!$A:$E,5,FALSE))</f>
        <v/>
      </c>
      <c r="E19" s="214" t="str">
        <f>IF(A19="","",VLOOKUP($A19,tco_data!$A:$E,4,FALSE)&amp;" - "&amp;VLOOKUP($A19,tco_data!$A:$F,6,FALSE))</f>
        <v/>
      </c>
      <c r="F19" s="171" t="str">
        <f>IF(A19="","",VLOOKUP($A19,tco_data!$A:$O,12,FALSE))</f>
        <v/>
      </c>
      <c r="G19" s="212" t="str">
        <f>IF(A19="","",VLOOKUP($A19,tco_data!$A:$O,9,FALSE))</f>
        <v/>
      </c>
      <c r="H19" s="168" t="str">
        <f>IF(A19="","",VLOOKUP($A19,tco_data!$A:$O,13,FALSE)+VLOOKUP($A19,tco_data!$A:$O,14,FALSE))</f>
        <v/>
      </c>
      <c r="I19" s="216" t="str">
        <f t="shared" si="1"/>
        <v/>
      </c>
      <c r="J19" s="28" t="str">
        <f>IF($A19="","",VLOOKUP($A19,tco_data!$A:$O,10,FALSE))</f>
        <v/>
      </c>
      <c r="K19" s="217" t="str">
        <f>IF($A19="","",VLOOKUP($A19,tco_data!$A:$O,11,FALSE))</f>
        <v/>
      </c>
      <c r="L19" s="172" t="str">
        <f>IF($B19="","",VLOOKUP($B19,Data!$H:$BB,2,FALSE))</f>
        <v/>
      </c>
      <c r="M19" s="218" t="str">
        <f>IF($B19="","",VLOOKUP($B19,Data!$H:$BB,3,FALSE))</f>
        <v/>
      </c>
      <c r="N19" s="172" t="str">
        <f>IF($B19="","",VLOOKUP($B19,Data!$H:$BB,4,FALSE))</f>
        <v/>
      </c>
    </row>
    <row r="20" spans="1:14" ht="20.100000000000001" customHeight="1" x14ac:dyDescent="0.2">
      <c r="A20" s="169" t="str">
        <f t="shared" si="0"/>
        <v/>
      </c>
      <c r="B20" s="167" t="str">
        <f>IF(A20="","",VLOOKUP($A20,tco_data!$A:$C,3,FALSE))</f>
        <v/>
      </c>
      <c r="C20" s="221" t="str">
        <f>IF(A20="","",VLOOKUP($A20,tco_data!$A:$O,15,FALSE))</f>
        <v/>
      </c>
      <c r="D20" s="220" t="str">
        <f>IF(A20="","",VLOOKUP($A20,tco_data!$A:$E,5,FALSE))</f>
        <v/>
      </c>
      <c r="E20" s="214" t="str">
        <f>IF(A20="","",VLOOKUP($A20,tco_data!$A:$E,4,FALSE)&amp;" - "&amp;VLOOKUP($A20,tco_data!$A:$F,6,FALSE))</f>
        <v/>
      </c>
      <c r="F20" s="171" t="str">
        <f>IF(A20="","",VLOOKUP($A20,tco_data!$A:$O,12,FALSE))</f>
        <v/>
      </c>
      <c r="G20" s="212" t="str">
        <f>IF(A20="","",VLOOKUP($A20,tco_data!$A:$O,9,FALSE))</f>
        <v/>
      </c>
      <c r="H20" s="168" t="str">
        <f>IF(A20="","",VLOOKUP($A20,tco_data!$A:$O,13,FALSE)+VLOOKUP($A20,tco_data!$A:$O,14,FALSE))</f>
        <v/>
      </c>
      <c r="I20" s="216" t="str">
        <f t="shared" si="1"/>
        <v/>
      </c>
      <c r="J20" s="28" t="str">
        <f>IF($A20="","",VLOOKUP($A20,tco_data!$A:$O,10,FALSE))</f>
        <v/>
      </c>
      <c r="K20" s="217" t="str">
        <f>IF($A20="","",VLOOKUP($A20,tco_data!$A:$O,11,FALSE))</f>
        <v/>
      </c>
      <c r="L20" s="172" t="str">
        <f>IF($B20="","",VLOOKUP($B20,Data!$H:$BB,2,FALSE))</f>
        <v/>
      </c>
      <c r="M20" s="218" t="str">
        <f>IF($B20="","",VLOOKUP($B20,Data!$H:$BB,3,FALSE))</f>
        <v/>
      </c>
      <c r="N20" s="172" t="str">
        <f>IF($B20="","",VLOOKUP($B20,Data!$H:$BB,4,FALSE))</f>
        <v/>
      </c>
    </row>
    <row r="21" spans="1:14" ht="20.100000000000001" customHeight="1" x14ac:dyDescent="0.2">
      <c r="A21" s="169" t="str">
        <f t="shared" si="0"/>
        <v/>
      </c>
      <c r="B21" s="167" t="str">
        <f>IF(A21="","",VLOOKUP($A21,tco_data!$A:$C,3,FALSE))</f>
        <v/>
      </c>
      <c r="C21" s="221" t="str">
        <f>IF(A21="","",VLOOKUP($A21,tco_data!$A:$O,15,FALSE))</f>
        <v/>
      </c>
      <c r="D21" s="220" t="str">
        <f>IF(A21="","",VLOOKUP($A21,tco_data!$A:$E,5,FALSE))</f>
        <v/>
      </c>
      <c r="E21" s="214" t="str">
        <f>IF(A21="","",VLOOKUP($A21,tco_data!$A:$E,4,FALSE)&amp;" - "&amp;VLOOKUP($A21,tco_data!$A:$F,6,FALSE))</f>
        <v/>
      </c>
      <c r="F21" s="171" t="str">
        <f>IF(A21="","",VLOOKUP($A21,tco_data!$A:$O,12,FALSE))</f>
        <v/>
      </c>
      <c r="G21" s="212" t="str">
        <f>IF(A21="","",VLOOKUP($A21,tco_data!$A:$O,9,FALSE))</f>
        <v/>
      </c>
      <c r="H21" s="168" t="str">
        <f>IF(A21="","",VLOOKUP($A21,tco_data!$A:$O,13,FALSE)+VLOOKUP($A21,tco_data!$A:$O,14,FALSE))</f>
        <v/>
      </c>
      <c r="I21" s="216" t="str">
        <f t="shared" si="1"/>
        <v/>
      </c>
      <c r="J21" s="28" t="str">
        <f>IF($A21="","",VLOOKUP($A21,tco_data!$A:$O,10,FALSE))</f>
        <v/>
      </c>
      <c r="K21" s="217" t="str">
        <f>IF($A21="","",VLOOKUP($A21,tco_data!$A:$O,11,FALSE))</f>
        <v/>
      </c>
      <c r="L21" s="172" t="str">
        <f>IF($B21="","",VLOOKUP($B21,Data!$H:$BB,2,FALSE))</f>
        <v/>
      </c>
      <c r="M21" s="218" t="str">
        <f>IF($B21="","",VLOOKUP($B21,Data!$H:$BB,3,FALSE))</f>
        <v/>
      </c>
      <c r="N21" s="172" t="str">
        <f>IF($B21="","",VLOOKUP($B21,Data!$H:$BB,4,FALSE))</f>
        <v/>
      </c>
    </row>
    <row r="22" spans="1:14" ht="20.100000000000001" customHeight="1" x14ac:dyDescent="0.2">
      <c r="A22" s="169" t="str">
        <f t="shared" si="0"/>
        <v/>
      </c>
      <c r="B22" s="167" t="str">
        <f>IF(A22="","",VLOOKUP($A22,tco_data!$A:$C,3,FALSE))</f>
        <v/>
      </c>
      <c r="C22" s="221" t="str">
        <f>IF(A22="","",VLOOKUP($A22,tco_data!$A:$O,15,FALSE))</f>
        <v/>
      </c>
      <c r="D22" s="220" t="str">
        <f>IF(A22="","",VLOOKUP($A22,tco_data!$A:$E,5,FALSE))</f>
        <v/>
      </c>
      <c r="E22" s="214" t="str">
        <f>IF(A22="","",VLOOKUP($A22,tco_data!$A:$E,4,FALSE)&amp;" - "&amp;VLOOKUP($A22,tco_data!$A:$F,6,FALSE))</f>
        <v/>
      </c>
      <c r="F22" s="171" t="str">
        <f>IF(A22="","",VLOOKUP($A22,tco_data!$A:$O,12,FALSE))</f>
        <v/>
      </c>
      <c r="G22" s="212" t="str">
        <f>IF(A22="","",VLOOKUP($A22,tco_data!$A:$O,9,FALSE))</f>
        <v/>
      </c>
      <c r="H22" s="168" t="str">
        <f>IF(A22="","",VLOOKUP($A22,tco_data!$A:$O,13,FALSE)+VLOOKUP($A22,tco_data!$A:$O,14,FALSE))</f>
        <v/>
      </c>
      <c r="I22" s="216" t="str">
        <f t="shared" si="1"/>
        <v/>
      </c>
      <c r="J22" s="28" t="str">
        <f>IF($A22="","",VLOOKUP($A22,tco_data!$A:$O,10,FALSE))</f>
        <v/>
      </c>
      <c r="K22" s="217" t="str">
        <f>IF($A22="","",VLOOKUP($A22,tco_data!$A:$O,11,FALSE))</f>
        <v/>
      </c>
      <c r="L22" s="172" t="str">
        <f>IF($B22="","",VLOOKUP($B22,Data!$H:$BB,2,FALSE))</f>
        <v/>
      </c>
      <c r="M22" s="218" t="str">
        <f>IF($B22="","",VLOOKUP($B22,Data!$H:$BB,3,FALSE))</f>
        <v/>
      </c>
      <c r="N22" s="172" t="str">
        <f>IF($B22="","",VLOOKUP($B22,Data!$H:$BB,4,FALSE))</f>
        <v/>
      </c>
    </row>
    <row r="23" spans="1:14" ht="20.100000000000001" customHeight="1" x14ac:dyDescent="0.2">
      <c r="A23" s="169" t="str">
        <f t="shared" si="0"/>
        <v/>
      </c>
      <c r="B23" s="167" t="str">
        <f>IF(A23="","",VLOOKUP($A23,tco_data!$A:$C,3,FALSE))</f>
        <v/>
      </c>
      <c r="C23" s="221" t="str">
        <f>IF(A23="","",VLOOKUP($A23,tco_data!$A:$O,15,FALSE))</f>
        <v/>
      </c>
      <c r="D23" s="220" t="str">
        <f>IF(A23="","",VLOOKUP($A23,tco_data!$A:$E,5,FALSE))</f>
        <v/>
      </c>
      <c r="E23" s="214" t="str">
        <f>IF(A23="","",VLOOKUP($A23,tco_data!$A:$E,4,FALSE)&amp;" - "&amp;VLOOKUP($A23,tco_data!$A:$F,6,FALSE))</f>
        <v/>
      </c>
      <c r="F23" s="171" t="str">
        <f>IF(A23="","",VLOOKUP($A23,tco_data!$A:$O,12,FALSE))</f>
        <v/>
      </c>
      <c r="G23" s="212" t="str">
        <f>IF(A23="","",VLOOKUP($A23,tco_data!$A:$O,9,FALSE))</f>
        <v/>
      </c>
      <c r="H23" s="168" t="str">
        <f>IF(A23="","",VLOOKUP($A23,tco_data!$A:$O,13,FALSE)+VLOOKUP($A23,tco_data!$A:$O,14,FALSE))</f>
        <v/>
      </c>
      <c r="I23" s="216" t="str">
        <f t="shared" si="1"/>
        <v/>
      </c>
      <c r="J23" s="28" t="str">
        <f>IF($A23="","",VLOOKUP($A23,tco_data!$A:$O,10,FALSE))</f>
        <v/>
      </c>
      <c r="K23" s="217" t="str">
        <f>IF($A23="","",VLOOKUP($A23,tco_data!$A:$O,11,FALSE))</f>
        <v/>
      </c>
      <c r="L23" s="172" t="str">
        <f>IF($B23="","",VLOOKUP($B23,Data!$H:$BB,2,FALSE))</f>
        <v/>
      </c>
      <c r="M23" s="218" t="str">
        <f>IF($B23="","",VLOOKUP($B23,Data!$H:$BB,3,FALSE))</f>
        <v/>
      </c>
      <c r="N23" s="172" t="str">
        <f>IF($B23="","",VLOOKUP($B23,Data!$H:$BB,4,FALSE))</f>
        <v/>
      </c>
    </row>
    <row r="24" spans="1:14" ht="20.100000000000001" customHeight="1" x14ac:dyDescent="0.2">
      <c r="A24" s="169" t="str">
        <f t="shared" si="0"/>
        <v/>
      </c>
      <c r="B24" s="167" t="str">
        <f>IF(A24="","",VLOOKUP($A24,tco_data!$A:$C,3,FALSE))</f>
        <v/>
      </c>
      <c r="C24" s="221" t="str">
        <f>IF(A24="","",VLOOKUP($A24,tco_data!$A:$O,15,FALSE))</f>
        <v/>
      </c>
      <c r="D24" s="220" t="str">
        <f>IF(A24="","",VLOOKUP($A24,tco_data!$A:$E,5,FALSE))</f>
        <v/>
      </c>
      <c r="E24" s="214" t="str">
        <f>IF(A24="","",VLOOKUP($A24,tco_data!$A:$E,4,FALSE)&amp;" - "&amp;VLOOKUP($A24,tco_data!$A:$F,6,FALSE))</f>
        <v/>
      </c>
      <c r="F24" s="171" t="str">
        <f>IF(A24="","",VLOOKUP($A24,tco_data!$A:$O,12,FALSE))</f>
        <v/>
      </c>
      <c r="G24" s="212" t="str">
        <f>IF(A24="","",VLOOKUP($A24,tco_data!$A:$O,9,FALSE))</f>
        <v/>
      </c>
      <c r="H24" s="168" t="str">
        <f>IF(A24="","",VLOOKUP($A24,tco_data!$A:$O,13,FALSE)+VLOOKUP($A24,tco_data!$A:$O,14,FALSE))</f>
        <v/>
      </c>
      <c r="I24" s="216" t="str">
        <f t="shared" si="1"/>
        <v/>
      </c>
      <c r="J24" s="28" t="str">
        <f>IF($A24="","",VLOOKUP($A24,tco_data!$A:$O,10,FALSE))</f>
        <v/>
      </c>
      <c r="K24" s="217" t="str">
        <f>IF($A24="","",VLOOKUP($A24,tco_data!$A:$O,11,FALSE))</f>
        <v/>
      </c>
      <c r="L24" s="172" t="str">
        <f>IF($B24="","",VLOOKUP($B24,Data!$H:$BB,2,FALSE))</f>
        <v/>
      </c>
      <c r="M24" s="218" t="str">
        <f>IF($B24="","",VLOOKUP($B24,Data!$H:$BB,3,FALSE))</f>
        <v/>
      </c>
      <c r="N24" s="172" t="str">
        <f>IF($B24="","",VLOOKUP($B24,Data!$H:$BB,4,FALSE))</f>
        <v/>
      </c>
    </row>
    <row r="25" spans="1:14" ht="20.100000000000001" customHeight="1" x14ac:dyDescent="0.2">
      <c r="A25" s="169" t="str">
        <f t="shared" si="0"/>
        <v/>
      </c>
      <c r="B25" s="167" t="str">
        <f>IF(A25="","",VLOOKUP($A25,tco_data!$A:$C,3,FALSE))</f>
        <v/>
      </c>
      <c r="C25" s="221" t="str">
        <f>IF(A25="","",VLOOKUP($A25,tco_data!$A:$O,15,FALSE))</f>
        <v/>
      </c>
      <c r="D25" s="220" t="str">
        <f>IF(A25="","",VLOOKUP($A25,tco_data!$A:$E,5,FALSE))</f>
        <v/>
      </c>
      <c r="E25" s="214" t="str">
        <f>IF(A25="","",VLOOKUP($A25,tco_data!$A:$E,4,FALSE)&amp;" - "&amp;VLOOKUP($A25,tco_data!$A:$F,6,FALSE))</f>
        <v/>
      </c>
      <c r="F25" s="171" t="str">
        <f>IF(A25="","",VLOOKUP($A25,tco_data!$A:$O,12,FALSE))</f>
        <v/>
      </c>
      <c r="G25" s="212" t="str">
        <f>IF(A25="","",VLOOKUP($A25,tco_data!$A:$O,9,FALSE))</f>
        <v/>
      </c>
      <c r="H25" s="168" t="str">
        <f>IF(A25="","",VLOOKUP($A25,tco_data!$A:$O,13,FALSE)+VLOOKUP($A25,tco_data!$A:$O,14,FALSE))</f>
        <v/>
      </c>
      <c r="I25" s="216" t="str">
        <f t="shared" si="1"/>
        <v/>
      </c>
      <c r="J25" s="28" t="str">
        <f>IF($A25="","",VLOOKUP($A25,tco_data!$A:$O,10,FALSE))</f>
        <v/>
      </c>
      <c r="K25" s="217" t="str">
        <f>IF($A25="","",VLOOKUP($A25,tco_data!$A:$O,11,FALSE))</f>
        <v/>
      </c>
      <c r="L25" s="172" t="str">
        <f>IF($B25="","",VLOOKUP($B25,Data!$H:$BB,2,FALSE))</f>
        <v/>
      </c>
      <c r="M25" s="218" t="str">
        <f>IF($B25="","",VLOOKUP($B25,Data!$H:$BB,3,FALSE))</f>
        <v/>
      </c>
      <c r="N25" s="172" t="str">
        <f>IF($B25="","",VLOOKUP($B25,Data!$H:$BB,4,FALSE))</f>
        <v/>
      </c>
    </row>
    <row r="26" spans="1:14" ht="20.100000000000001" customHeight="1" x14ac:dyDescent="0.2">
      <c r="A26" s="169" t="str">
        <f t="shared" si="0"/>
        <v/>
      </c>
      <c r="B26" s="167" t="str">
        <f>IF(A26="","",VLOOKUP($A26,tco_data!$A:$C,3,FALSE))</f>
        <v/>
      </c>
      <c r="C26" s="221" t="str">
        <f>IF(A26="","",VLOOKUP($A26,tco_data!$A:$O,15,FALSE))</f>
        <v/>
      </c>
      <c r="D26" s="220" t="str">
        <f>IF(A26="","",VLOOKUP($A26,tco_data!$A:$E,5,FALSE))</f>
        <v/>
      </c>
      <c r="E26" s="214" t="str">
        <f>IF(A26="","",VLOOKUP($A26,tco_data!$A:$E,4,FALSE)&amp;" - "&amp;VLOOKUP($A26,tco_data!$A:$F,6,FALSE))</f>
        <v/>
      </c>
      <c r="F26" s="171" t="str">
        <f>IF(A26="","",VLOOKUP($A26,tco_data!$A:$O,12,FALSE))</f>
        <v/>
      </c>
      <c r="G26" s="212" t="str">
        <f>IF(A26="","",VLOOKUP($A26,tco_data!$A:$O,9,FALSE))</f>
        <v/>
      </c>
      <c r="H26" s="168" t="str">
        <f>IF(A26="","",VLOOKUP($A26,tco_data!$A:$O,13,FALSE)+VLOOKUP($A26,tco_data!$A:$O,14,FALSE))</f>
        <v/>
      </c>
      <c r="I26" s="216" t="str">
        <f t="shared" si="1"/>
        <v/>
      </c>
      <c r="J26" s="28" t="str">
        <f>IF($A26="","",VLOOKUP($A26,tco_data!$A:$O,10,FALSE))</f>
        <v/>
      </c>
      <c r="K26" s="217" t="str">
        <f>IF($A26="","",VLOOKUP($A26,tco_data!$A:$O,11,FALSE))</f>
        <v/>
      </c>
      <c r="L26" s="172" t="str">
        <f>IF($B26="","",VLOOKUP($B26,Data!$H:$BB,2,FALSE))</f>
        <v/>
      </c>
      <c r="M26" s="218" t="str">
        <f>IF($B26="","",VLOOKUP($B26,Data!$H:$BB,3,FALSE))</f>
        <v/>
      </c>
      <c r="N26" s="172" t="str">
        <f>IF($B26="","",VLOOKUP($B26,Data!$H:$BB,4,FALSE))</f>
        <v/>
      </c>
    </row>
    <row r="27" spans="1:14" ht="20.100000000000001" customHeight="1" x14ac:dyDescent="0.2">
      <c r="A27" s="169" t="str">
        <f t="shared" si="0"/>
        <v/>
      </c>
      <c r="B27" s="167" t="str">
        <f>IF(A27="","",VLOOKUP($A27,tco_data!$A:$C,3,FALSE))</f>
        <v/>
      </c>
      <c r="C27" s="221" t="str">
        <f>IF(A27="","",VLOOKUP($A27,tco_data!$A:$O,15,FALSE))</f>
        <v/>
      </c>
      <c r="D27" s="220" t="str">
        <f>IF(A27="","",VLOOKUP($A27,tco_data!$A:$E,5,FALSE))</f>
        <v/>
      </c>
      <c r="E27" s="214" t="str">
        <f>IF(A27="","",VLOOKUP($A27,tco_data!$A:$E,4,FALSE)&amp;" - "&amp;VLOOKUP($A27,tco_data!$A:$F,6,FALSE))</f>
        <v/>
      </c>
      <c r="F27" s="171" t="str">
        <f>IF(A27="","",VLOOKUP($A27,tco_data!$A:$O,12,FALSE))</f>
        <v/>
      </c>
      <c r="G27" s="212" t="str">
        <f>IF(A27="","",VLOOKUP($A27,tco_data!$A:$O,9,FALSE))</f>
        <v/>
      </c>
      <c r="H27" s="168" t="str">
        <f>IF(A27="","",VLOOKUP($A27,tco_data!$A:$O,13,FALSE)+VLOOKUP($A27,tco_data!$A:$O,14,FALSE))</f>
        <v/>
      </c>
      <c r="I27" s="216" t="str">
        <f t="shared" si="1"/>
        <v/>
      </c>
      <c r="J27" s="28" t="str">
        <f>IF($A27="","",VLOOKUP($A27,tco_data!$A:$O,10,FALSE))</f>
        <v/>
      </c>
      <c r="K27" s="217" t="str">
        <f>IF($A27="","",VLOOKUP($A27,tco_data!$A:$O,11,FALSE))</f>
        <v/>
      </c>
      <c r="L27" s="172" t="str">
        <f>IF($B27="","",VLOOKUP($B27,Data!$H:$BB,2,FALSE))</f>
        <v/>
      </c>
      <c r="M27" s="218" t="str">
        <f>IF($B27="","",VLOOKUP($B27,Data!$H:$BB,3,FALSE))</f>
        <v/>
      </c>
      <c r="N27" s="172" t="str">
        <f>IF($B27="","",VLOOKUP($B27,Data!$H:$BB,4,FALSE))</f>
        <v/>
      </c>
    </row>
    <row r="28" spans="1:14" ht="20.100000000000001" customHeight="1" x14ac:dyDescent="0.2">
      <c r="A28" s="169" t="str">
        <f t="shared" si="0"/>
        <v/>
      </c>
      <c r="B28" s="167" t="str">
        <f>IF(A28="","",VLOOKUP($A28,tco_data!$A:$C,3,FALSE))</f>
        <v/>
      </c>
      <c r="C28" s="221" t="str">
        <f>IF(A28="","",VLOOKUP($A28,tco_data!$A:$O,15,FALSE))</f>
        <v/>
      </c>
      <c r="D28" s="220" t="str">
        <f>IF(A28="","",VLOOKUP($A28,tco_data!$A:$E,5,FALSE))</f>
        <v/>
      </c>
      <c r="E28" s="214" t="str">
        <f>IF(A28="","",VLOOKUP($A28,tco_data!$A:$E,4,FALSE)&amp;" - "&amp;VLOOKUP($A28,tco_data!$A:$F,6,FALSE))</f>
        <v/>
      </c>
      <c r="F28" s="171" t="str">
        <f>IF(A28="","",VLOOKUP($A28,tco_data!$A:$O,12,FALSE))</f>
        <v/>
      </c>
      <c r="G28" s="212" t="str">
        <f>IF(A28="","",VLOOKUP($A28,tco_data!$A:$O,9,FALSE))</f>
        <v/>
      </c>
      <c r="H28" s="168" t="str">
        <f>IF(A28="","",VLOOKUP($A28,tco_data!$A:$O,13,FALSE)+VLOOKUP($A28,tco_data!$A:$O,14,FALSE))</f>
        <v/>
      </c>
      <c r="I28" s="216" t="str">
        <f t="shared" si="1"/>
        <v/>
      </c>
      <c r="J28" s="28" t="str">
        <f>IF($A28="","",VLOOKUP($A28,tco_data!$A:$O,10,FALSE))</f>
        <v/>
      </c>
      <c r="K28" s="217" t="str">
        <f>IF($A28="","",VLOOKUP($A28,tco_data!$A:$O,11,FALSE))</f>
        <v/>
      </c>
      <c r="L28" s="172" t="str">
        <f>IF($B28="","",VLOOKUP($B28,Data!$H:$BB,2,FALSE))</f>
        <v/>
      </c>
      <c r="M28" s="218" t="str">
        <f>IF($B28="","",VLOOKUP($B28,Data!$H:$BB,3,FALSE))</f>
        <v/>
      </c>
      <c r="N28" s="172" t="str">
        <f>IF($B28="","",VLOOKUP($B28,Data!$H:$BB,4,FALSE))</f>
        <v/>
      </c>
    </row>
    <row r="29" spans="1:14" ht="20.100000000000001" customHeight="1" x14ac:dyDescent="0.2">
      <c r="A29" s="169" t="str">
        <f t="shared" si="0"/>
        <v/>
      </c>
      <c r="B29" s="167" t="str">
        <f>IF(A29="","",VLOOKUP($A29,tco_data!$A:$C,3,FALSE))</f>
        <v/>
      </c>
      <c r="C29" s="221" t="str">
        <f>IF(A29="","",VLOOKUP($A29,tco_data!$A:$O,15,FALSE))</f>
        <v/>
      </c>
      <c r="D29" s="220" t="str">
        <f>IF(A29="","",VLOOKUP($A29,tco_data!$A:$E,5,FALSE))</f>
        <v/>
      </c>
      <c r="E29" s="214" t="str">
        <f>IF(A29="","",VLOOKUP($A29,tco_data!$A:$E,4,FALSE)&amp;" - "&amp;VLOOKUP($A29,tco_data!$A:$F,6,FALSE))</f>
        <v/>
      </c>
      <c r="F29" s="171" t="str">
        <f>IF(A29="","",VLOOKUP($A29,tco_data!$A:$O,12,FALSE))</f>
        <v/>
      </c>
      <c r="G29" s="212" t="str">
        <f>IF(A29="","",VLOOKUP($A29,tco_data!$A:$O,9,FALSE))</f>
        <v/>
      </c>
      <c r="H29" s="168" t="str">
        <f>IF(A29="","",VLOOKUP($A29,tco_data!$A:$O,13,FALSE)+VLOOKUP($A29,tco_data!$A:$O,14,FALSE))</f>
        <v/>
      </c>
      <c r="I29" s="216" t="str">
        <f t="shared" si="1"/>
        <v/>
      </c>
      <c r="J29" s="28" t="str">
        <f>IF($A29="","",VLOOKUP($A29,tco_data!$A:$O,10,FALSE))</f>
        <v/>
      </c>
      <c r="K29" s="217" t="str">
        <f>IF($A29="","",VLOOKUP($A29,tco_data!$A:$O,11,FALSE))</f>
        <v/>
      </c>
      <c r="L29" s="172" t="str">
        <f>IF($B29="","",VLOOKUP($B29,Data!$H:$BB,2,FALSE))</f>
        <v/>
      </c>
      <c r="M29" s="218" t="str">
        <f>IF($B29="","",VLOOKUP($B29,Data!$H:$BB,3,FALSE))</f>
        <v/>
      </c>
      <c r="N29" s="172" t="str">
        <f>IF($B29="","",VLOOKUP($B29,Data!$H:$BB,4,FALSE))</f>
        <v/>
      </c>
    </row>
    <row r="30" spans="1:14" ht="20.100000000000001" customHeight="1" x14ac:dyDescent="0.2">
      <c r="A30" s="169" t="str">
        <f t="shared" si="0"/>
        <v/>
      </c>
      <c r="B30" s="167" t="str">
        <f>IF(A30="","",VLOOKUP($A30,tco_data!$A:$C,3,FALSE))</f>
        <v/>
      </c>
      <c r="C30" s="221" t="str">
        <f>IF(A30="","",VLOOKUP($A30,tco_data!$A:$O,15,FALSE))</f>
        <v/>
      </c>
      <c r="D30" s="220" t="str">
        <f>IF(A30="","",VLOOKUP($A30,tco_data!$A:$E,5,FALSE))</f>
        <v/>
      </c>
      <c r="E30" s="214" t="str">
        <f>IF(A30="","",VLOOKUP($A30,tco_data!$A:$E,4,FALSE)&amp;" - "&amp;VLOOKUP($A30,tco_data!$A:$F,6,FALSE))</f>
        <v/>
      </c>
      <c r="F30" s="171" t="str">
        <f>IF(A30="","",VLOOKUP($A30,tco_data!$A:$O,12,FALSE))</f>
        <v/>
      </c>
      <c r="G30" s="212" t="str">
        <f>IF(A30="","",VLOOKUP($A30,tco_data!$A:$O,9,FALSE))</f>
        <v/>
      </c>
      <c r="H30" s="168" t="str">
        <f>IF(A30="","",VLOOKUP($A30,tco_data!$A:$O,13,FALSE)+VLOOKUP($A30,tco_data!$A:$O,14,FALSE))</f>
        <v/>
      </c>
      <c r="I30" s="216" t="str">
        <f t="shared" si="1"/>
        <v/>
      </c>
      <c r="J30" s="28" t="str">
        <f>IF($A30="","",VLOOKUP($A30,tco_data!$A:$O,10,FALSE))</f>
        <v/>
      </c>
      <c r="K30" s="217" t="str">
        <f>IF($A30="","",VLOOKUP($A30,tco_data!$A:$O,11,FALSE))</f>
        <v/>
      </c>
      <c r="L30" s="172" t="str">
        <f>IF($B30="","",VLOOKUP($B30,Data!$H:$BB,2,FALSE))</f>
        <v/>
      </c>
      <c r="M30" s="218" t="str">
        <f>IF($B30="","",VLOOKUP($B30,Data!$H:$BB,3,FALSE))</f>
        <v/>
      </c>
      <c r="N30" s="172" t="str">
        <f>IF($B30="","",VLOOKUP($B30,Data!$H:$BB,4,FALSE))</f>
        <v/>
      </c>
    </row>
    <row r="31" spans="1:14" ht="20.100000000000001" customHeight="1" x14ac:dyDescent="0.2">
      <c r="A31" s="169" t="str">
        <f t="shared" si="0"/>
        <v/>
      </c>
      <c r="B31" s="167" t="str">
        <f>IF(A31="","",VLOOKUP($A31,tco_data!$A:$C,3,FALSE))</f>
        <v/>
      </c>
      <c r="C31" s="221" t="str">
        <f>IF(A31="","",VLOOKUP($A31,tco_data!$A:$O,15,FALSE))</f>
        <v/>
      </c>
      <c r="D31" s="220" t="str">
        <f>IF(A31="","",VLOOKUP($A31,tco_data!$A:$E,5,FALSE))</f>
        <v/>
      </c>
      <c r="E31" s="214" t="str">
        <f>IF(A31="","",VLOOKUP($A31,tco_data!$A:$E,4,FALSE)&amp;" - "&amp;VLOOKUP($A31,tco_data!$A:$F,6,FALSE))</f>
        <v/>
      </c>
      <c r="F31" s="171" t="str">
        <f>IF(A31="","",VLOOKUP($A31,tco_data!$A:$O,12,FALSE))</f>
        <v/>
      </c>
      <c r="G31" s="212" t="str">
        <f>IF(A31="","",VLOOKUP($A31,tco_data!$A:$O,9,FALSE))</f>
        <v/>
      </c>
      <c r="H31" s="168" t="str">
        <f>IF(A31="","",VLOOKUP($A31,tco_data!$A:$O,13,FALSE)+VLOOKUP($A31,tco_data!$A:$O,14,FALSE))</f>
        <v/>
      </c>
      <c r="I31" s="216" t="str">
        <f t="shared" si="1"/>
        <v/>
      </c>
      <c r="J31" s="28" t="str">
        <f>IF($A31="","",VLOOKUP($A31,tco_data!$A:$O,10,FALSE))</f>
        <v/>
      </c>
      <c r="K31" s="217" t="str">
        <f>IF($A31="","",VLOOKUP($A31,tco_data!$A:$O,11,FALSE))</f>
        <v/>
      </c>
      <c r="L31" s="172" t="str">
        <f>IF($B31="","",VLOOKUP($B31,Data!$H:$BB,2,FALSE))</f>
        <v/>
      </c>
      <c r="M31" s="218" t="str">
        <f>IF($B31="","",VLOOKUP($B31,Data!$H:$BB,3,FALSE))</f>
        <v/>
      </c>
      <c r="N31" s="172" t="str">
        <f>IF($B31="","",VLOOKUP($B31,Data!$H:$BB,4,FALSE))</f>
        <v/>
      </c>
    </row>
    <row r="32" spans="1:14" ht="20.100000000000001" customHeight="1" x14ac:dyDescent="0.2">
      <c r="A32" s="169" t="str">
        <f t="shared" si="0"/>
        <v/>
      </c>
      <c r="B32" s="167" t="str">
        <f>IF(A32="","",VLOOKUP($A32,tco_data!$A:$C,3,FALSE))</f>
        <v/>
      </c>
      <c r="C32" s="221" t="str">
        <f>IF(A32="","",VLOOKUP($A32,tco_data!$A:$O,15,FALSE))</f>
        <v/>
      </c>
      <c r="D32" s="220" t="str">
        <f>IF(A32="","",VLOOKUP($A32,tco_data!$A:$E,5,FALSE))</f>
        <v/>
      </c>
      <c r="E32" s="214" t="str">
        <f>IF(A32="","",VLOOKUP($A32,tco_data!$A:$E,4,FALSE)&amp;" - "&amp;VLOOKUP($A32,tco_data!$A:$F,6,FALSE))</f>
        <v/>
      </c>
      <c r="F32" s="171" t="str">
        <f>IF(A32="","",VLOOKUP($A32,tco_data!$A:$O,12,FALSE))</f>
        <v/>
      </c>
      <c r="G32" s="212" t="str">
        <f>IF(A32="","",VLOOKUP($A32,tco_data!$A:$O,9,FALSE))</f>
        <v/>
      </c>
      <c r="H32" s="168" t="str">
        <f>IF(A32="","",VLOOKUP($A32,tco_data!$A:$O,13,FALSE)+VLOOKUP($A32,tco_data!$A:$O,14,FALSE))</f>
        <v/>
      </c>
      <c r="I32" s="216" t="str">
        <f t="shared" si="1"/>
        <v/>
      </c>
      <c r="J32" s="28" t="str">
        <f>IF($A32="","",VLOOKUP($A32,tco_data!$A:$O,10,FALSE))</f>
        <v/>
      </c>
      <c r="K32" s="217" t="str">
        <f>IF($A32="","",VLOOKUP($A32,tco_data!$A:$O,11,FALSE))</f>
        <v/>
      </c>
      <c r="L32" s="172" t="str">
        <f>IF($B32="","",VLOOKUP($B32,Data!$H:$BB,2,FALSE))</f>
        <v/>
      </c>
      <c r="M32" s="218" t="str">
        <f>IF($B32="","",VLOOKUP($B32,Data!$H:$BB,3,FALSE))</f>
        <v/>
      </c>
      <c r="N32" s="172" t="str">
        <f>IF($B32="","",VLOOKUP($B32,Data!$H:$BB,4,FALSE))</f>
        <v/>
      </c>
    </row>
    <row r="33" spans="1:14" ht="20.100000000000001" customHeight="1" x14ac:dyDescent="0.2">
      <c r="A33" s="169" t="str">
        <f t="shared" si="0"/>
        <v/>
      </c>
      <c r="B33" s="167" t="str">
        <f>IF(A33="","",VLOOKUP($A33,tco_data!$A:$C,3,FALSE))</f>
        <v/>
      </c>
      <c r="C33" s="221" t="str">
        <f>IF(A33="","",VLOOKUP($A33,tco_data!$A:$O,15,FALSE))</f>
        <v/>
      </c>
      <c r="D33" s="220" t="str">
        <f>IF(A33="","",VLOOKUP($A33,tco_data!$A:$E,5,FALSE))</f>
        <v/>
      </c>
      <c r="E33" s="214" t="str">
        <f>IF(A33="","",VLOOKUP($A33,tco_data!$A:$E,4,FALSE)&amp;" - "&amp;VLOOKUP($A33,tco_data!$A:$F,6,FALSE))</f>
        <v/>
      </c>
      <c r="F33" s="171" t="str">
        <f>IF(A33="","",VLOOKUP($A33,tco_data!$A:$O,12,FALSE))</f>
        <v/>
      </c>
      <c r="G33" s="212" t="str">
        <f>IF(A33="","",VLOOKUP($A33,tco_data!$A:$O,9,FALSE))</f>
        <v/>
      </c>
      <c r="H33" s="168" t="str">
        <f>IF(A33="","",VLOOKUP($A33,tco_data!$A:$O,13,FALSE)+VLOOKUP($A33,tco_data!$A:$O,14,FALSE))</f>
        <v/>
      </c>
      <c r="I33" s="216" t="str">
        <f t="shared" si="1"/>
        <v/>
      </c>
      <c r="J33" s="28" t="str">
        <f>IF($A33="","",VLOOKUP($A33,tco_data!$A:$O,10,FALSE))</f>
        <v/>
      </c>
      <c r="K33" s="217" t="str">
        <f>IF($A33="","",VLOOKUP($A33,tco_data!$A:$O,11,FALSE))</f>
        <v/>
      </c>
      <c r="L33" s="172" t="str">
        <f>IF($B33="","",VLOOKUP($B33,Data!$H:$BB,2,FALSE))</f>
        <v/>
      </c>
      <c r="M33" s="218" t="str">
        <f>IF($B33="","",VLOOKUP($B33,Data!$H:$BB,3,FALSE))</f>
        <v/>
      </c>
      <c r="N33" s="172" t="str">
        <f>IF($B33="","",VLOOKUP($B33,Data!$H:$BB,4,FALSE))</f>
        <v/>
      </c>
    </row>
    <row r="34" spans="1:14" ht="20.100000000000001" customHeight="1" x14ac:dyDescent="0.2">
      <c r="A34" s="169" t="str">
        <f t="shared" si="0"/>
        <v/>
      </c>
      <c r="B34" s="167" t="str">
        <f>IF(A34="","",VLOOKUP($A34,tco_data!$A:$C,3,FALSE))</f>
        <v/>
      </c>
      <c r="C34" s="221" t="str">
        <f>IF(A34="","",VLOOKUP($A34,tco_data!$A:$O,15,FALSE))</f>
        <v/>
      </c>
      <c r="D34" s="220" t="str">
        <f>IF(A34="","",VLOOKUP($A34,tco_data!$A:$E,5,FALSE))</f>
        <v/>
      </c>
      <c r="E34" s="214" t="str">
        <f>IF(A34="","",VLOOKUP($A34,tco_data!$A:$E,4,FALSE)&amp;" - "&amp;VLOOKUP($A34,tco_data!$A:$F,6,FALSE))</f>
        <v/>
      </c>
      <c r="F34" s="171" t="str">
        <f>IF(A34="","",VLOOKUP($A34,tco_data!$A:$O,12,FALSE))</f>
        <v/>
      </c>
      <c r="G34" s="212" t="str">
        <f>IF(A34="","",VLOOKUP($A34,tco_data!$A:$O,9,FALSE))</f>
        <v/>
      </c>
      <c r="H34" s="168" t="str">
        <f>IF(A34="","",VLOOKUP($A34,tco_data!$A:$O,13,FALSE)+VLOOKUP($A34,tco_data!$A:$O,14,FALSE))</f>
        <v/>
      </c>
      <c r="I34" s="216" t="str">
        <f t="shared" si="1"/>
        <v/>
      </c>
      <c r="J34" s="28" t="str">
        <f>IF($A34="","",VLOOKUP($A34,tco_data!$A:$O,10,FALSE))</f>
        <v/>
      </c>
      <c r="K34" s="217" t="str">
        <f>IF($A34="","",VLOOKUP($A34,tco_data!$A:$O,11,FALSE))</f>
        <v/>
      </c>
      <c r="L34" s="172" t="str">
        <f>IF($B34="","",VLOOKUP($B34,Data!$H:$BB,2,FALSE))</f>
        <v/>
      </c>
      <c r="M34" s="218" t="str">
        <f>IF($B34="","",VLOOKUP($B34,Data!$H:$BB,3,FALSE))</f>
        <v/>
      </c>
      <c r="N34" s="172" t="str">
        <f>IF($B34="","",VLOOKUP($B34,Data!$H:$BB,4,FALSE))</f>
        <v/>
      </c>
    </row>
    <row r="35" spans="1:14" ht="20.100000000000001" customHeight="1" x14ac:dyDescent="0.2">
      <c r="A35" s="169" t="str">
        <f t="shared" si="0"/>
        <v/>
      </c>
      <c r="B35" s="167" t="str">
        <f>IF(A35="","",VLOOKUP($A35,tco_data!$A:$C,3,FALSE))</f>
        <v/>
      </c>
      <c r="C35" s="221" t="str">
        <f>IF(A35="","",VLOOKUP($A35,tco_data!$A:$O,15,FALSE))</f>
        <v/>
      </c>
      <c r="D35" s="220" t="str">
        <f>IF(A35="","",VLOOKUP($A35,tco_data!$A:$E,5,FALSE))</f>
        <v/>
      </c>
      <c r="E35" s="214" t="str">
        <f>IF(A35="","",VLOOKUP($A35,tco_data!$A:$E,4,FALSE)&amp;" - "&amp;VLOOKUP($A35,tco_data!$A:$F,6,FALSE))</f>
        <v/>
      </c>
      <c r="F35" s="171" t="str">
        <f>IF(A35="","",VLOOKUP($A35,tco_data!$A:$O,12,FALSE))</f>
        <v/>
      </c>
      <c r="G35" s="212" t="str">
        <f>IF(A35="","",VLOOKUP($A35,tco_data!$A:$O,9,FALSE))</f>
        <v/>
      </c>
      <c r="H35" s="168" t="str">
        <f>IF(A35="","",VLOOKUP($A35,tco_data!$A:$O,13,FALSE)+VLOOKUP($A35,tco_data!$A:$O,14,FALSE))</f>
        <v/>
      </c>
      <c r="I35" s="216" t="str">
        <f t="shared" si="1"/>
        <v/>
      </c>
      <c r="J35" s="28" t="str">
        <f>IF($A35="","",VLOOKUP($A35,tco_data!$A:$O,10,FALSE))</f>
        <v/>
      </c>
      <c r="K35" s="217" t="str">
        <f>IF($A35="","",VLOOKUP($A35,tco_data!$A:$O,11,FALSE))</f>
        <v/>
      </c>
      <c r="L35" s="172" t="str">
        <f>IF($B35="","",VLOOKUP($B35,Data!$H:$BB,2,FALSE))</f>
        <v/>
      </c>
      <c r="M35" s="218" t="str">
        <f>IF($B35="","",VLOOKUP($B35,Data!$H:$BB,3,FALSE))</f>
        <v/>
      </c>
      <c r="N35" s="172" t="str">
        <f>IF($B35="","",VLOOKUP($B35,Data!$H:$BB,4,FALSE))</f>
        <v/>
      </c>
    </row>
    <row r="36" spans="1:14" ht="20.100000000000001" customHeight="1" x14ac:dyDescent="0.2">
      <c r="A36" s="169" t="str">
        <f t="shared" si="0"/>
        <v/>
      </c>
      <c r="B36" s="167" t="str">
        <f>IF(A36="","",VLOOKUP($A36,tco_data!$A:$C,3,FALSE))</f>
        <v/>
      </c>
      <c r="C36" s="221" t="str">
        <f>IF(A36="","",VLOOKUP($A36,tco_data!$A:$O,15,FALSE))</f>
        <v/>
      </c>
      <c r="D36" s="220" t="str">
        <f>IF(A36="","",VLOOKUP($A36,tco_data!$A:$E,5,FALSE))</f>
        <v/>
      </c>
      <c r="E36" s="214" t="str">
        <f>IF(A36="","",VLOOKUP($A36,tco_data!$A:$E,4,FALSE)&amp;" - "&amp;VLOOKUP($A36,tco_data!$A:$F,6,FALSE))</f>
        <v/>
      </c>
      <c r="F36" s="171" t="str">
        <f>IF(A36="","",VLOOKUP($A36,tco_data!$A:$O,12,FALSE))</f>
        <v/>
      </c>
      <c r="G36" s="212" t="str">
        <f>IF(A36="","",VLOOKUP($A36,tco_data!$A:$O,9,FALSE))</f>
        <v/>
      </c>
      <c r="H36" s="168" t="str">
        <f>IF(A36="","",VLOOKUP($A36,tco_data!$A:$O,13,FALSE)+VLOOKUP($A36,tco_data!$A:$O,14,FALSE))</f>
        <v/>
      </c>
      <c r="I36" s="216" t="str">
        <f t="shared" si="1"/>
        <v/>
      </c>
      <c r="J36" s="28" t="str">
        <f>IF($A36="","",VLOOKUP($A36,tco_data!$A:$O,10,FALSE))</f>
        <v/>
      </c>
      <c r="K36" s="217" t="str">
        <f>IF($A36="","",VLOOKUP($A36,tco_data!$A:$O,11,FALSE))</f>
        <v/>
      </c>
      <c r="L36" s="172" t="str">
        <f>IF($B36="","",VLOOKUP($B36,Data!$H:$BB,2,FALSE))</f>
        <v/>
      </c>
      <c r="M36" s="218" t="str">
        <f>IF($B36="","",VLOOKUP($B36,Data!$H:$BB,3,FALSE))</f>
        <v/>
      </c>
      <c r="N36" s="172" t="str">
        <f>IF($B36="","",VLOOKUP($B36,Data!$H:$BB,4,FALSE))</f>
        <v/>
      </c>
    </row>
    <row r="37" spans="1:14" ht="20.100000000000001" customHeight="1" x14ac:dyDescent="0.2">
      <c r="A37" s="169" t="str">
        <f t="shared" si="0"/>
        <v/>
      </c>
      <c r="B37" s="167" t="str">
        <f>IF(A37="","",VLOOKUP($A37,tco_data!$A:$C,3,FALSE))</f>
        <v/>
      </c>
      <c r="C37" s="221" t="str">
        <f>IF(A37="","",VLOOKUP($A37,tco_data!$A:$O,15,FALSE))</f>
        <v/>
      </c>
      <c r="D37" s="220" t="str">
        <f>IF(A37="","",VLOOKUP($A37,tco_data!$A:$E,5,FALSE))</f>
        <v/>
      </c>
      <c r="E37" s="214" t="str">
        <f>IF(A37="","",VLOOKUP($A37,tco_data!$A:$E,4,FALSE)&amp;" - "&amp;VLOOKUP($A37,tco_data!$A:$F,6,FALSE))</f>
        <v/>
      </c>
      <c r="F37" s="171" t="str">
        <f>IF(A37="","",VLOOKUP($A37,tco_data!$A:$O,12,FALSE))</f>
        <v/>
      </c>
      <c r="G37" s="212" t="str">
        <f>IF(A37="","",VLOOKUP($A37,tco_data!$A:$O,9,FALSE))</f>
        <v/>
      </c>
      <c r="H37" s="168" t="str">
        <f>IF(A37="","",VLOOKUP($A37,tco_data!$A:$O,13,FALSE)+VLOOKUP($A37,tco_data!$A:$O,14,FALSE))</f>
        <v/>
      </c>
      <c r="I37" s="216" t="str">
        <f t="shared" si="1"/>
        <v/>
      </c>
      <c r="J37" s="28" t="str">
        <f>IF($A37="","",VLOOKUP($A37,tco_data!$A:$O,10,FALSE))</f>
        <v/>
      </c>
      <c r="K37" s="217" t="str">
        <f>IF($A37="","",VLOOKUP($A37,tco_data!$A:$O,11,FALSE))</f>
        <v/>
      </c>
      <c r="L37" s="172" t="str">
        <f>IF($B37="","",VLOOKUP($B37,Data!$H:$BB,2,FALSE))</f>
        <v/>
      </c>
      <c r="M37" s="218" t="str">
        <f>IF($B37="","",VLOOKUP($B37,Data!$H:$BB,3,FALSE))</f>
        <v/>
      </c>
      <c r="N37" s="172" t="str">
        <f>IF($B37="","",VLOOKUP($B37,Data!$H:$BB,4,FALSE))</f>
        <v/>
      </c>
    </row>
    <row r="38" spans="1:14" ht="20.100000000000001" customHeight="1" x14ac:dyDescent="0.2">
      <c r="A38" s="169" t="str">
        <f t="shared" si="0"/>
        <v/>
      </c>
      <c r="B38" s="167" t="str">
        <f>IF(A38="","",VLOOKUP($A38,tco_data!$A:$C,3,FALSE))</f>
        <v/>
      </c>
      <c r="C38" s="221" t="str">
        <f>IF(A38="","",VLOOKUP($A38,tco_data!$A:$O,15,FALSE))</f>
        <v/>
      </c>
      <c r="D38" s="220" t="str">
        <f>IF(A38="","",VLOOKUP($A38,tco_data!$A:$E,5,FALSE))</f>
        <v/>
      </c>
      <c r="E38" s="214" t="str">
        <f>IF(A38="","",VLOOKUP($A38,tco_data!$A:$E,4,FALSE)&amp;" - "&amp;VLOOKUP($A38,tco_data!$A:$F,6,FALSE))</f>
        <v/>
      </c>
      <c r="F38" s="171" t="str">
        <f>IF(A38="","",VLOOKUP($A38,tco_data!$A:$O,12,FALSE))</f>
        <v/>
      </c>
      <c r="G38" s="212" t="str">
        <f>IF(A38="","",VLOOKUP($A38,tco_data!$A:$O,9,FALSE))</f>
        <v/>
      </c>
      <c r="H38" s="168" t="str">
        <f>IF(A38="","",VLOOKUP($A38,tco_data!$A:$O,13,FALSE)+VLOOKUP($A38,tco_data!$A:$O,14,FALSE))</f>
        <v/>
      </c>
      <c r="I38" s="216" t="str">
        <f t="shared" ref="I38:I55" si="2">IF(A38="","",H38/C38)</f>
        <v/>
      </c>
      <c r="J38" s="28" t="str">
        <f>IF($A38="","",VLOOKUP($A38,tco_data!$A:$O,10,FALSE))</f>
        <v/>
      </c>
      <c r="K38" s="217" t="str">
        <f>IF($A38="","",VLOOKUP($A38,tco_data!$A:$O,11,FALSE))</f>
        <v/>
      </c>
      <c r="L38" s="172" t="str">
        <f>IF($B38="","",VLOOKUP($B38,Data!$H:$BB,2,FALSE))</f>
        <v/>
      </c>
      <c r="M38" s="218" t="str">
        <f>IF($B38="","",VLOOKUP($B38,Data!$H:$BB,3,FALSE))</f>
        <v/>
      </c>
      <c r="N38" s="172" t="str">
        <f>IF($B38="","",VLOOKUP($B38,Data!$H:$BB,4,FALSE))</f>
        <v/>
      </c>
    </row>
    <row r="39" spans="1:14" ht="20.100000000000001" customHeight="1" x14ac:dyDescent="0.2">
      <c r="A39" s="169" t="str">
        <f t="shared" si="0"/>
        <v/>
      </c>
      <c r="B39" s="167" t="str">
        <f>IF(A39="","",VLOOKUP($A39,tco_data!$A:$C,3,FALSE))</f>
        <v/>
      </c>
      <c r="C39" s="221" t="str">
        <f>IF(A39="","",VLOOKUP($A39,tco_data!$A:$O,15,FALSE))</f>
        <v/>
      </c>
      <c r="D39" s="220" t="str">
        <f>IF(A39="","",VLOOKUP($A39,tco_data!$A:$E,5,FALSE))</f>
        <v/>
      </c>
      <c r="E39" s="214" t="str">
        <f>IF(A39="","",VLOOKUP($A39,tco_data!$A:$E,4,FALSE)&amp;" - "&amp;VLOOKUP($A39,tco_data!$A:$F,6,FALSE))</f>
        <v/>
      </c>
      <c r="F39" s="171" t="str">
        <f>IF(A39="","",VLOOKUP($A39,tco_data!$A:$O,12,FALSE))</f>
        <v/>
      </c>
      <c r="G39" s="212" t="str">
        <f>IF(A39="","",VLOOKUP($A39,tco_data!$A:$O,9,FALSE))</f>
        <v/>
      </c>
      <c r="H39" s="168" t="str">
        <f>IF(A39="","",VLOOKUP($A39,tco_data!$A:$O,13,FALSE)+VLOOKUP($A39,tco_data!$A:$O,14,FALSE))</f>
        <v/>
      </c>
      <c r="I39" s="216" t="str">
        <f t="shared" si="2"/>
        <v/>
      </c>
      <c r="J39" s="28" t="str">
        <f>IF($A39="","",VLOOKUP($A39,tco_data!$A:$O,10,FALSE))</f>
        <v/>
      </c>
      <c r="K39" s="217" t="str">
        <f>IF($A39="","",VLOOKUP($A39,tco_data!$A:$O,11,FALSE))</f>
        <v/>
      </c>
      <c r="L39" s="172" t="str">
        <f>IF($B39="","",VLOOKUP($B39,Data!$H:$BB,2,FALSE))</f>
        <v/>
      </c>
      <c r="M39" s="218" t="str">
        <f>IF($B39="","",VLOOKUP($B39,Data!$H:$BB,3,FALSE))</f>
        <v/>
      </c>
      <c r="N39" s="172" t="str">
        <f>IF($B39="","",VLOOKUP($B39,Data!$H:$BB,4,FALSE))</f>
        <v/>
      </c>
    </row>
    <row r="40" spans="1:14" ht="20.100000000000001" customHeight="1" x14ac:dyDescent="0.2">
      <c r="A40" s="169" t="str">
        <f>IF($J$3="Review Filters","",IF(ROW()-$I$2&lt;($J$3+1),ROW()-$I$2,""))</f>
        <v/>
      </c>
      <c r="B40" s="167" t="str">
        <f>IF(A40="","",VLOOKUP($A40,tco_data!$A:$C,3,FALSE))</f>
        <v/>
      </c>
      <c r="C40" s="221" t="str">
        <f>IF(A40="","",VLOOKUP($A40,tco_data!$A:$O,15,FALSE))</f>
        <v/>
      </c>
      <c r="D40" s="220" t="str">
        <f>IF(A40="","",VLOOKUP($A40,tco_data!$A:$E,5,FALSE))</f>
        <v/>
      </c>
      <c r="E40" s="214" t="str">
        <f>IF(A40="","",VLOOKUP($A40,tco_data!$A:$E,4,FALSE)&amp;" - "&amp;VLOOKUP($A40,tco_data!$A:$F,6,FALSE))</f>
        <v/>
      </c>
      <c r="F40" s="171" t="str">
        <f>IF(A40="","",VLOOKUP($A40,tco_data!$A:$O,12,FALSE))</f>
        <v/>
      </c>
      <c r="G40" s="212" t="str">
        <f>IF(A40="","",VLOOKUP($A40,tco_data!$A:$O,9,FALSE))</f>
        <v/>
      </c>
      <c r="H40" s="168" t="str">
        <f>IF(A40="","",VLOOKUP($A40,tco_data!$A:$O,13,FALSE)+VLOOKUP($A40,tco_data!$A:$O,14,FALSE))</f>
        <v/>
      </c>
      <c r="I40" s="216" t="str">
        <f t="shared" si="2"/>
        <v/>
      </c>
      <c r="J40" s="28" t="str">
        <f>IF($A40="","",VLOOKUP($A40,tco_data!$A:$O,10,FALSE))</f>
        <v/>
      </c>
      <c r="K40" s="217" t="str">
        <f>IF($A40="","",VLOOKUP($A40,tco_data!$A:$O,11,FALSE))</f>
        <v/>
      </c>
      <c r="L40" s="172" t="str">
        <f>IF($B40="","",VLOOKUP($B40,Data!$H:$BB,2,FALSE))</f>
        <v/>
      </c>
      <c r="M40" s="283" t="str">
        <f>IF($B40="","",VLOOKUP($B40,Data!$H:$BB,3,FALSE))</f>
        <v/>
      </c>
      <c r="N40" s="172" t="str">
        <f>IF($B40="","",VLOOKUP($B40,Data!$H:$BB,4,FALSE))</f>
        <v/>
      </c>
    </row>
    <row r="41" spans="1:14" ht="20.100000000000001" customHeight="1" x14ac:dyDescent="0.2">
      <c r="A41" s="169" t="str">
        <f t="shared" ref="A41:A55" si="3">IF($J$3="Review Filters","",IF(ROW()-$I$2&lt;($J$3+1),ROW()-$I$2,""))</f>
        <v/>
      </c>
      <c r="B41" s="167" t="str">
        <f>IF(A41="","",VLOOKUP($A41,tco_data!$A:$C,3,FALSE))</f>
        <v/>
      </c>
      <c r="C41" s="221" t="str">
        <f>IF(A41="","",VLOOKUP($A41,tco_data!$A:$O,15,FALSE))</f>
        <v/>
      </c>
      <c r="D41" s="220" t="str">
        <f>IF(A41="","",VLOOKUP($A41,tco_data!$A:$E,5,FALSE))</f>
        <v/>
      </c>
      <c r="E41" s="214" t="str">
        <f>IF(A41="","",VLOOKUP($A41,tco_data!$A:$E,4,FALSE)&amp;" - "&amp;VLOOKUP($A41,tco_data!$A:$F,6,FALSE))</f>
        <v/>
      </c>
      <c r="F41" s="171" t="str">
        <f>IF(A41="","",VLOOKUP($A41,tco_data!$A:$O,12,FALSE))</f>
        <v/>
      </c>
      <c r="G41" s="212" t="str">
        <f>IF(A41="","",VLOOKUP($A41,tco_data!$A:$O,9,FALSE))</f>
        <v/>
      </c>
      <c r="H41" s="168" t="str">
        <f>IF(A41="","",VLOOKUP($A41,tco_data!$A:$O,13,FALSE)+VLOOKUP($A41,tco_data!$A:$O,14,FALSE))</f>
        <v/>
      </c>
      <c r="I41" s="216" t="str">
        <f t="shared" si="2"/>
        <v/>
      </c>
      <c r="J41" s="28" t="str">
        <f>IF($A41="","",VLOOKUP($A41,tco_data!$A:$O,10,FALSE))</f>
        <v/>
      </c>
      <c r="K41" s="217" t="str">
        <f>IF($A41="","",VLOOKUP($A41,tco_data!$A:$O,11,FALSE))</f>
        <v/>
      </c>
      <c r="L41" s="172" t="str">
        <f>IF($B41="","",VLOOKUP($B41,Data!$H:$BB,2,FALSE))</f>
        <v/>
      </c>
      <c r="M41" s="218" t="str">
        <f>IF($B41="","",VLOOKUP($B41,Data!$H:$BB,3,FALSE))</f>
        <v/>
      </c>
      <c r="N41" s="172" t="str">
        <f>IF($B41="","",VLOOKUP($B41,Data!$H:$BB,4,FALSE))</f>
        <v/>
      </c>
    </row>
    <row r="42" spans="1:14" ht="20.100000000000001" customHeight="1" x14ac:dyDescent="0.2">
      <c r="A42" s="169" t="str">
        <f t="shared" si="3"/>
        <v/>
      </c>
      <c r="B42" s="167" t="str">
        <f>IF(A42="","",VLOOKUP($A42,tco_data!$A:$C,3,FALSE))</f>
        <v/>
      </c>
      <c r="C42" s="221" t="str">
        <f>IF(A42="","",VLOOKUP($A42,tco_data!$A:$O,15,FALSE))</f>
        <v/>
      </c>
      <c r="D42" s="220" t="str">
        <f>IF(A42="","",VLOOKUP($A42,tco_data!$A:$E,5,FALSE))</f>
        <v/>
      </c>
      <c r="E42" s="214" t="str">
        <f>IF(A42="","",VLOOKUP($A42,tco_data!$A:$E,4,FALSE)&amp;" - "&amp;VLOOKUP($A42,tco_data!$A:$F,6,FALSE))</f>
        <v/>
      </c>
      <c r="F42" s="171" t="str">
        <f>IF(A42="","",VLOOKUP($A42,tco_data!$A:$O,12,FALSE))</f>
        <v/>
      </c>
      <c r="G42" s="212" t="str">
        <f>IF(A42="","",VLOOKUP($A42,tco_data!$A:$O,9,FALSE))</f>
        <v/>
      </c>
      <c r="H42" s="168" t="str">
        <f>IF(A42="","",VLOOKUP($A42,tco_data!$A:$O,13,FALSE)+VLOOKUP($A42,tco_data!$A:$O,14,FALSE))</f>
        <v/>
      </c>
      <c r="I42" s="216" t="str">
        <f t="shared" si="2"/>
        <v/>
      </c>
      <c r="J42" s="28" t="str">
        <f>IF($A42="","",VLOOKUP($A42,tco_data!$A:$O,10,FALSE))</f>
        <v/>
      </c>
      <c r="K42" s="217" t="str">
        <f>IF($A42="","",VLOOKUP($A42,tco_data!$A:$O,11,FALSE))</f>
        <v/>
      </c>
      <c r="L42" s="172" t="str">
        <f>IF($B42="","",VLOOKUP($B42,Data!$H:$BB,2,FALSE))</f>
        <v/>
      </c>
      <c r="M42" s="218" t="str">
        <f>IF($B42="","",VLOOKUP($B42,Data!$H:$BB,3,FALSE))</f>
        <v/>
      </c>
      <c r="N42" s="172" t="str">
        <f>IF($B42="","",VLOOKUP($B42,Data!$H:$BB,4,FALSE))</f>
        <v/>
      </c>
    </row>
    <row r="43" spans="1:14" ht="20.100000000000001" customHeight="1" x14ac:dyDescent="0.2">
      <c r="A43" s="169" t="str">
        <f t="shared" si="3"/>
        <v/>
      </c>
      <c r="B43" s="167" t="str">
        <f>IF(A43="","",VLOOKUP($A43,tco_data!$A:$C,3,FALSE))</f>
        <v/>
      </c>
      <c r="C43" s="221" t="str">
        <f>IF(A43="","",VLOOKUP($A43,tco_data!$A:$O,15,FALSE))</f>
        <v/>
      </c>
      <c r="D43" s="220" t="str">
        <f>IF(A43="","",VLOOKUP($A43,tco_data!$A:$E,5,FALSE))</f>
        <v/>
      </c>
      <c r="E43" s="214" t="str">
        <f>IF(A43="","",VLOOKUP($A43,tco_data!$A:$E,4,FALSE)&amp;" - "&amp;VLOOKUP($A43,tco_data!$A:$F,6,FALSE))</f>
        <v/>
      </c>
      <c r="F43" s="171" t="str">
        <f>IF(A43="","",VLOOKUP($A43,tco_data!$A:$O,12,FALSE))</f>
        <v/>
      </c>
      <c r="G43" s="212" t="str">
        <f>IF(A43="","",VLOOKUP($A43,tco_data!$A:$O,9,FALSE))</f>
        <v/>
      </c>
      <c r="H43" s="168" t="str">
        <f>IF(A43="","",VLOOKUP($A43,tco_data!$A:$O,13,FALSE)+VLOOKUP($A43,tco_data!$A:$O,14,FALSE))</f>
        <v/>
      </c>
      <c r="I43" s="216" t="str">
        <f t="shared" si="2"/>
        <v/>
      </c>
      <c r="J43" s="28" t="str">
        <f>IF($A43="","",VLOOKUP($A43,tco_data!$A:$O,10,FALSE))</f>
        <v/>
      </c>
      <c r="K43" s="217" t="str">
        <f>IF($A43="","",VLOOKUP($A43,tco_data!$A:$O,11,FALSE))</f>
        <v/>
      </c>
      <c r="L43" s="172" t="str">
        <f>IF($B43="","",VLOOKUP($B43,Data!$H:$BB,2,FALSE))</f>
        <v/>
      </c>
      <c r="M43" s="218" t="str">
        <f>IF($B43="","",VLOOKUP($B43,Data!$H:$BB,3,FALSE))</f>
        <v/>
      </c>
      <c r="N43" s="172" t="str">
        <f>IF($B43="","",VLOOKUP($B43,Data!$H:$BB,4,FALSE))</f>
        <v/>
      </c>
    </row>
    <row r="44" spans="1:14" ht="20.100000000000001" customHeight="1" x14ac:dyDescent="0.2">
      <c r="A44" s="169" t="str">
        <f t="shared" si="3"/>
        <v/>
      </c>
      <c r="B44" s="167" t="str">
        <f>IF(A44="","",VLOOKUP($A44,tco_data!$A:$C,3,FALSE))</f>
        <v/>
      </c>
      <c r="C44" s="221" t="str">
        <f>IF(A44="","",VLOOKUP($A44,tco_data!$A:$O,15,FALSE))</f>
        <v/>
      </c>
      <c r="D44" s="220" t="str">
        <f>IF(A44="","",VLOOKUP($A44,tco_data!$A:$E,5,FALSE))</f>
        <v/>
      </c>
      <c r="E44" s="214" t="str">
        <f>IF(A44="","",VLOOKUP($A44,tco_data!$A:$E,4,FALSE)&amp;" - "&amp;VLOOKUP($A44,tco_data!$A:$F,6,FALSE))</f>
        <v/>
      </c>
      <c r="F44" s="171" t="str">
        <f>IF(A44="","",VLOOKUP($A44,tco_data!$A:$O,12,FALSE))</f>
        <v/>
      </c>
      <c r="G44" s="212" t="str">
        <f>IF(A44="","",VLOOKUP($A44,tco_data!$A:$O,9,FALSE))</f>
        <v/>
      </c>
      <c r="H44" s="168" t="str">
        <f>IF(A44="","",VLOOKUP($A44,tco_data!$A:$O,13,FALSE)+VLOOKUP($A44,tco_data!$A:$O,14,FALSE))</f>
        <v/>
      </c>
      <c r="I44" s="216" t="str">
        <f t="shared" si="2"/>
        <v/>
      </c>
      <c r="J44" s="28" t="str">
        <f>IF($A44="","",VLOOKUP($A44,tco_data!$A:$O,10,FALSE))</f>
        <v/>
      </c>
      <c r="K44" s="217" t="str">
        <f>IF($A44="","",VLOOKUP($A44,tco_data!$A:$O,11,FALSE))</f>
        <v/>
      </c>
      <c r="L44" s="172" t="str">
        <f>IF($B44="","",VLOOKUP($B44,Data!$H:$BB,2,FALSE))</f>
        <v/>
      </c>
      <c r="M44" s="218" t="str">
        <f>IF($B44="","",VLOOKUP($B44,Data!$H:$BB,3,FALSE))</f>
        <v/>
      </c>
      <c r="N44" s="172" t="str">
        <f>IF($B44="","",VLOOKUP($B44,Data!$H:$BB,4,FALSE))</f>
        <v/>
      </c>
    </row>
    <row r="45" spans="1:14" ht="20.100000000000001" customHeight="1" x14ac:dyDescent="0.2">
      <c r="A45" s="169" t="str">
        <f t="shared" si="3"/>
        <v/>
      </c>
      <c r="B45" s="167" t="str">
        <f>IF(A45="","",VLOOKUP($A45,tco_data!$A:$C,3,FALSE))</f>
        <v/>
      </c>
      <c r="C45" s="221" t="str">
        <f>IF(A45="","",VLOOKUP($A45,tco_data!$A:$O,15,FALSE))</f>
        <v/>
      </c>
      <c r="D45" s="220" t="str">
        <f>IF(A45="","",VLOOKUP($A45,tco_data!$A:$E,5,FALSE))</f>
        <v/>
      </c>
      <c r="E45" s="214" t="str">
        <f>IF(A45="","",VLOOKUP($A45,tco_data!$A:$E,4,FALSE)&amp;" - "&amp;VLOOKUP($A45,tco_data!$A:$F,6,FALSE))</f>
        <v/>
      </c>
      <c r="F45" s="171" t="str">
        <f>IF(A45="","",VLOOKUP($A45,tco_data!$A:$O,12,FALSE))</f>
        <v/>
      </c>
      <c r="G45" s="212" t="str">
        <f>IF(A45="","",VLOOKUP($A45,tco_data!$A:$O,9,FALSE))</f>
        <v/>
      </c>
      <c r="H45" s="168" t="str">
        <f>IF(A45="","",VLOOKUP($A45,tco_data!$A:$O,13,FALSE)+VLOOKUP($A45,tco_data!$A:$O,14,FALSE))</f>
        <v/>
      </c>
      <c r="I45" s="216" t="str">
        <f t="shared" si="2"/>
        <v/>
      </c>
      <c r="J45" s="28" t="str">
        <f>IF($A45="","",VLOOKUP($A45,tco_data!$A:$O,10,FALSE))</f>
        <v/>
      </c>
      <c r="K45" s="217" t="str">
        <f>IF($A45="","",VLOOKUP($A45,tco_data!$A:$O,11,FALSE))</f>
        <v/>
      </c>
      <c r="L45" s="172" t="str">
        <f>IF($B45="","",VLOOKUP($B45,Data!$H:$BB,2,FALSE))</f>
        <v/>
      </c>
      <c r="M45" s="218" t="str">
        <f>IF($B45="","",VLOOKUP($B45,Data!$H:$BB,3,FALSE))</f>
        <v/>
      </c>
      <c r="N45" s="172" t="str">
        <f>IF($B45="","",VLOOKUP($B45,Data!$H:$BB,4,FALSE))</f>
        <v/>
      </c>
    </row>
    <row r="46" spans="1:14" ht="20.100000000000001" customHeight="1" x14ac:dyDescent="0.2">
      <c r="A46" s="169" t="str">
        <f t="shared" si="3"/>
        <v/>
      </c>
      <c r="B46" s="167" t="str">
        <f>IF(A46="","",VLOOKUP($A46,tco_data!$A:$C,3,FALSE))</f>
        <v/>
      </c>
      <c r="C46" s="221" t="str">
        <f>IF(A46="","",VLOOKUP($A46,tco_data!$A:$O,15,FALSE))</f>
        <v/>
      </c>
      <c r="D46" s="220" t="str">
        <f>IF(A46="","",VLOOKUP($A46,tco_data!$A:$E,5,FALSE))</f>
        <v/>
      </c>
      <c r="E46" s="214" t="str">
        <f>IF(A46="","",VLOOKUP($A46,tco_data!$A:$E,4,FALSE)&amp;" - "&amp;VLOOKUP($A46,tco_data!$A:$F,6,FALSE))</f>
        <v/>
      </c>
      <c r="F46" s="171" t="str">
        <f>IF(A46="","",VLOOKUP($A46,tco_data!$A:$O,12,FALSE))</f>
        <v/>
      </c>
      <c r="G46" s="212" t="str">
        <f>IF(A46="","",VLOOKUP($A46,tco_data!$A:$O,9,FALSE))</f>
        <v/>
      </c>
      <c r="H46" s="168" t="str">
        <f>IF(A46="","",VLOOKUP($A46,tco_data!$A:$O,13,FALSE)+VLOOKUP($A46,tco_data!$A:$O,14,FALSE))</f>
        <v/>
      </c>
      <c r="I46" s="216" t="str">
        <f t="shared" si="2"/>
        <v/>
      </c>
      <c r="J46" s="28" t="str">
        <f>IF($A46="","",VLOOKUP($A46,tco_data!$A:$O,10,FALSE))</f>
        <v/>
      </c>
      <c r="K46" s="217" t="str">
        <f>IF($A46="","",VLOOKUP($A46,tco_data!$A:$O,11,FALSE))</f>
        <v/>
      </c>
      <c r="L46" s="172" t="str">
        <f>IF($B46="","",VLOOKUP($B46,Data!$H:$BB,2,FALSE))</f>
        <v/>
      </c>
      <c r="M46" s="218" t="str">
        <f>IF($B46="","",VLOOKUP($B46,Data!$H:$BB,3,FALSE))</f>
        <v/>
      </c>
      <c r="N46" s="172" t="str">
        <f>IF($B46="","",VLOOKUP($B46,Data!$H:$BB,4,FALSE))</f>
        <v/>
      </c>
    </row>
    <row r="47" spans="1:14" ht="20.100000000000001" customHeight="1" x14ac:dyDescent="0.2">
      <c r="A47" s="169" t="str">
        <f t="shared" si="3"/>
        <v/>
      </c>
      <c r="B47" s="167" t="str">
        <f>IF(A47="","",VLOOKUP($A47,tco_data!$A:$C,3,FALSE))</f>
        <v/>
      </c>
      <c r="C47" s="221" t="str">
        <f>IF(A47="","",VLOOKUP($A47,tco_data!$A:$O,15,FALSE))</f>
        <v/>
      </c>
      <c r="D47" s="220" t="str">
        <f>IF(A47="","",VLOOKUP($A47,tco_data!$A:$E,5,FALSE))</f>
        <v/>
      </c>
      <c r="E47" s="214" t="str">
        <f>IF(A47="","",VLOOKUP($A47,tco_data!$A:$E,4,FALSE)&amp;" - "&amp;VLOOKUP($A47,tco_data!$A:$F,6,FALSE))</f>
        <v/>
      </c>
      <c r="F47" s="171" t="str">
        <f>IF(A47="","",VLOOKUP($A47,tco_data!$A:$O,12,FALSE))</f>
        <v/>
      </c>
      <c r="G47" s="212" t="str">
        <f>IF(A47="","",VLOOKUP($A47,tco_data!$A:$O,9,FALSE))</f>
        <v/>
      </c>
      <c r="H47" s="168" t="str">
        <f>IF(A47="","",VLOOKUP($A47,tco_data!$A:$O,13,FALSE)+VLOOKUP($A47,tco_data!$A:$O,14,FALSE))</f>
        <v/>
      </c>
      <c r="I47" s="216" t="str">
        <f t="shared" si="2"/>
        <v/>
      </c>
      <c r="J47" s="28" t="str">
        <f>IF($A47="","",VLOOKUP($A47,tco_data!$A:$O,10,FALSE))</f>
        <v/>
      </c>
      <c r="K47" s="217" t="str">
        <f>IF($A47="","",VLOOKUP($A47,tco_data!$A:$O,11,FALSE))</f>
        <v/>
      </c>
      <c r="L47" s="172" t="str">
        <f>IF($B47="","",VLOOKUP($B47,Data!$H:$BB,2,FALSE))</f>
        <v/>
      </c>
      <c r="M47" s="218" t="str">
        <f>IF($B47="","",VLOOKUP($B47,Data!$H:$BB,3,FALSE))</f>
        <v/>
      </c>
      <c r="N47" s="172" t="str">
        <f>IF($B47="","",VLOOKUP($B47,Data!$H:$BB,4,FALSE))</f>
        <v/>
      </c>
    </row>
    <row r="48" spans="1:14" ht="20.100000000000001" customHeight="1" x14ac:dyDescent="0.2">
      <c r="A48" s="169" t="str">
        <f t="shared" si="3"/>
        <v/>
      </c>
      <c r="B48" s="167" t="str">
        <f>IF(A48="","",VLOOKUP($A48,tco_data!$A:$C,3,FALSE))</f>
        <v/>
      </c>
      <c r="C48" s="221" t="str">
        <f>IF(A48="","",VLOOKUP($A48,tco_data!$A:$O,15,FALSE))</f>
        <v/>
      </c>
      <c r="D48" s="220" t="str">
        <f>IF(A48="","",VLOOKUP($A48,tco_data!$A:$E,5,FALSE))</f>
        <v/>
      </c>
      <c r="E48" s="214" t="str">
        <f>IF(A48="","",VLOOKUP($A48,tco_data!$A:$E,4,FALSE)&amp;" - "&amp;VLOOKUP($A48,tco_data!$A:$F,6,FALSE))</f>
        <v/>
      </c>
      <c r="F48" s="171" t="str">
        <f>IF(A48="","",VLOOKUP($A48,tco_data!$A:$O,12,FALSE))</f>
        <v/>
      </c>
      <c r="G48" s="212" t="str">
        <f>IF(A48="","",VLOOKUP($A48,tco_data!$A:$O,9,FALSE))</f>
        <v/>
      </c>
      <c r="H48" s="168" t="str">
        <f>IF(A48="","",VLOOKUP($A48,tco_data!$A:$O,13,FALSE)+VLOOKUP($A48,tco_data!$A:$O,14,FALSE))</f>
        <v/>
      </c>
      <c r="I48" s="216" t="str">
        <f t="shared" si="2"/>
        <v/>
      </c>
      <c r="J48" s="28" t="str">
        <f>IF($A48="","",VLOOKUP($A48,tco_data!$A:$O,10,FALSE))</f>
        <v/>
      </c>
      <c r="K48" s="217" t="str">
        <f>IF($A48="","",VLOOKUP($A48,tco_data!$A:$O,11,FALSE))</f>
        <v/>
      </c>
      <c r="L48" s="172" t="str">
        <f>IF($B48="","",VLOOKUP($B48,Data!$H:$BB,2,FALSE))</f>
        <v/>
      </c>
      <c r="M48" s="218" t="str">
        <f>IF($B48="","",VLOOKUP($B48,Data!$H:$BB,3,FALSE))</f>
        <v/>
      </c>
      <c r="N48" s="172" t="str">
        <f>IF($B48="","",VLOOKUP($B48,Data!$H:$BB,4,FALSE))</f>
        <v/>
      </c>
    </row>
    <row r="49" spans="1:14" ht="20.100000000000001" customHeight="1" x14ac:dyDescent="0.2">
      <c r="A49" s="169" t="str">
        <f t="shared" si="3"/>
        <v/>
      </c>
      <c r="B49" s="167" t="str">
        <f>IF(A49="","",VLOOKUP($A49,tco_data!$A:$C,3,FALSE))</f>
        <v/>
      </c>
      <c r="C49" s="221" t="str">
        <f>IF(A49="","",VLOOKUP($A49,tco_data!$A:$O,15,FALSE))</f>
        <v/>
      </c>
      <c r="D49" s="220" t="str">
        <f>IF(A49="","",VLOOKUP($A49,tco_data!$A:$E,5,FALSE))</f>
        <v/>
      </c>
      <c r="E49" s="214" t="str">
        <f>IF(A49="","",VLOOKUP($A49,tco_data!$A:$E,4,FALSE)&amp;" - "&amp;VLOOKUP($A49,tco_data!$A:$F,6,FALSE))</f>
        <v/>
      </c>
      <c r="F49" s="171" t="str">
        <f>IF(A49="","",VLOOKUP($A49,tco_data!$A:$O,12,FALSE))</f>
        <v/>
      </c>
      <c r="G49" s="212" t="str">
        <f>IF(A49="","",VLOOKUP($A49,tco_data!$A:$O,9,FALSE))</f>
        <v/>
      </c>
      <c r="H49" s="168" t="str">
        <f>IF(A49="","",VLOOKUP($A49,tco_data!$A:$O,13,FALSE)+VLOOKUP($A49,tco_data!$A:$O,14,FALSE))</f>
        <v/>
      </c>
      <c r="I49" s="216" t="str">
        <f t="shared" si="2"/>
        <v/>
      </c>
      <c r="J49" s="28" t="str">
        <f>IF($A49="","",VLOOKUP($A49,tco_data!$A:$O,10,FALSE))</f>
        <v/>
      </c>
      <c r="K49" s="217" t="str">
        <f>IF($A49="","",VLOOKUP($A49,tco_data!$A:$O,11,FALSE))</f>
        <v/>
      </c>
      <c r="L49" s="172" t="str">
        <f>IF($B49="","",VLOOKUP($B49,Data!$H:$BB,2,FALSE))</f>
        <v/>
      </c>
      <c r="M49" s="218" t="str">
        <f>IF($B49="","",VLOOKUP($B49,Data!$H:$BB,3,FALSE))</f>
        <v/>
      </c>
      <c r="N49" s="172" t="str">
        <f>IF($B49="","",VLOOKUP($B49,Data!$H:$BB,4,FALSE))</f>
        <v/>
      </c>
    </row>
    <row r="50" spans="1:14" ht="20.100000000000001" customHeight="1" x14ac:dyDescent="0.2">
      <c r="A50" s="169" t="str">
        <f t="shared" si="3"/>
        <v/>
      </c>
      <c r="B50" s="167" t="str">
        <f>IF(A50="","",VLOOKUP($A50,tco_data!$A:$C,3,FALSE))</f>
        <v/>
      </c>
      <c r="C50" s="221" t="str">
        <f>IF(A50="","",VLOOKUP($A50,tco_data!$A:$O,15,FALSE))</f>
        <v/>
      </c>
      <c r="D50" s="220" t="str">
        <f>IF(A50="","",VLOOKUP($A50,tco_data!$A:$E,5,FALSE))</f>
        <v/>
      </c>
      <c r="E50" s="214" t="str">
        <f>IF(A50="","",VLOOKUP($A50,tco_data!$A:$E,4,FALSE)&amp;" - "&amp;VLOOKUP($A50,tco_data!$A:$F,6,FALSE))</f>
        <v/>
      </c>
      <c r="F50" s="171" t="str">
        <f>IF(A50="","",VLOOKUP($A50,tco_data!$A:$O,12,FALSE))</f>
        <v/>
      </c>
      <c r="G50" s="212" t="str">
        <f>IF(A50="","",VLOOKUP($A50,tco_data!$A:$O,9,FALSE))</f>
        <v/>
      </c>
      <c r="H50" s="168" t="str">
        <f>IF(A50="","",VLOOKUP($A50,tco_data!$A:$O,13,FALSE)+VLOOKUP($A50,tco_data!$A:$O,14,FALSE))</f>
        <v/>
      </c>
      <c r="I50" s="216" t="str">
        <f t="shared" si="2"/>
        <v/>
      </c>
      <c r="J50" s="28" t="str">
        <f>IF($A50="","",VLOOKUP($A50,tco_data!$A:$O,10,FALSE))</f>
        <v/>
      </c>
      <c r="K50" s="217" t="str">
        <f>IF($A50="","",VLOOKUP($A50,tco_data!$A:$O,11,FALSE))</f>
        <v/>
      </c>
      <c r="L50" s="172" t="str">
        <f>IF($B50="","",VLOOKUP($B50,Data!$H:$BB,2,FALSE))</f>
        <v/>
      </c>
      <c r="M50" s="218" t="str">
        <f>IF($B50="","",VLOOKUP($B50,Data!$H:$BB,3,FALSE))</f>
        <v/>
      </c>
      <c r="N50" s="172" t="str">
        <f>IF($B50="","",VLOOKUP($B50,Data!$H:$BB,4,FALSE))</f>
        <v/>
      </c>
    </row>
    <row r="51" spans="1:14" ht="20.100000000000001" customHeight="1" x14ac:dyDescent="0.2">
      <c r="A51" s="169" t="str">
        <f t="shared" si="3"/>
        <v/>
      </c>
      <c r="B51" s="167" t="str">
        <f>IF(A51="","",VLOOKUP($A51,tco_data!$A:$C,3,FALSE))</f>
        <v/>
      </c>
      <c r="C51" s="221" t="str">
        <f>IF(A51="","",VLOOKUP($A51,tco_data!$A:$O,15,FALSE))</f>
        <v/>
      </c>
      <c r="D51" s="220" t="str">
        <f>IF(A51="","",VLOOKUP($A51,tco_data!$A:$E,5,FALSE))</f>
        <v/>
      </c>
      <c r="E51" s="214" t="str">
        <f>IF(A51="","",VLOOKUP($A51,tco_data!$A:$E,4,FALSE)&amp;" - "&amp;VLOOKUP($A51,tco_data!$A:$F,6,FALSE))</f>
        <v/>
      </c>
      <c r="F51" s="171" t="str">
        <f>IF(A51="","",VLOOKUP($A51,tco_data!$A:$O,12,FALSE))</f>
        <v/>
      </c>
      <c r="G51" s="212" t="str">
        <f>IF(A51="","",VLOOKUP($A51,tco_data!$A:$O,9,FALSE))</f>
        <v/>
      </c>
      <c r="H51" s="168" t="str">
        <f>IF(A51="","",VLOOKUP($A51,tco_data!$A:$O,13,FALSE)+VLOOKUP($A51,tco_data!$A:$O,14,FALSE))</f>
        <v/>
      </c>
      <c r="I51" s="216" t="str">
        <f t="shared" si="2"/>
        <v/>
      </c>
      <c r="J51" s="28" t="str">
        <f>IF($A51="","",VLOOKUP($A51,tco_data!$A:$O,10,FALSE))</f>
        <v/>
      </c>
      <c r="K51" s="217" t="str">
        <f>IF($A51="","",VLOOKUP($A51,tco_data!$A:$O,11,FALSE))</f>
        <v/>
      </c>
      <c r="L51" s="172" t="str">
        <f>IF($B51="","",VLOOKUP($B51,Data!$H:$BB,2,FALSE))</f>
        <v/>
      </c>
      <c r="M51" s="218" t="str">
        <f>IF($B51="","",VLOOKUP($B51,Data!$H:$BB,3,FALSE))</f>
        <v/>
      </c>
      <c r="N51" s="172" t="str">
        <f>IF($B51="","",VLOOKUP($B51,Data!$H:$BB,4,FALSE))</f>
        <v/>
      </c>
    </row>
    <row r="52" spans="1:14" ht="20.100000000000001" customHeight="1" x14ac:dyDescent="0.2">
      <c r="A52" s="169" t="str">
        <f t="shared" si="3"/>
        <v/>
      </c>
      <c r="B52" s="167" t="str">
        <f>IF(A52="","",VLOOKUP($A52,tco_data!$A:$C,3,FALSE))</f>
        <v/>
      </c>
      <c r="C52" s="221" t="str">
        <f>IF(A52="","",VLOOKUP($A52,tco_data!$A:$O,15,FALSE))</f>
        <v/>
      </c>
      <c r="D52" s="220" t="str">
        <f>IF(A52="","",VLOOKUP($A52,tco_data!$A:$E,5,FALSE))</f>
        <v/>
      </c>
      <c r="E52" s="214" t="str">
        <f>IF(A52="","",VLOOKUP($A52,tco_data!$A:$E,4,FALSE)&amp;" - "&amp;VLOOKUP($A52,tco_data!$A:$F,6,FALSE))</f>
        <v/>
      </c>
      <c r="F52" s="171" t="str">
        <f>IF(A52="","",VLOOKUP($A52,tco_data!$A:$O,12,FALSE))</f>
        <v/>
      </c>
      <c r="G52" s="212" t="str">
        <f>IF(A52="","",VLOOKUP($A52,tco_data!$A:$O,9,FALSE))</f>
        <v/>
      </c>
      <c r="H52" s="168" t="str">
        <f>IF(A52="","",VLOOKUP($A52,tco_data!$A:$O,13,FALSE)+VLOOKUP($A52,tco_data!$A:$O,14,FALSE))</f>
        <v/>
      </c>
      <c r="I52" s="216" t="str">
        <f t="shared" si="2"/>
        <v/>
      </c>
      <c r="J52" s="28" t="str">
        <f>IF($A52="","",VLOOKUP($A52,tco_data!$A:$O,10,FALSE))</f>
        <v/>
      </c>
      <c r="K52" s="217" t="str">
        <f>IF($A52="","",VLOOKUP($A52,tco_data!$A:$O,11,FALSE))</f>
        <v/>
      </c>
      <c r="L52" s="172" t="str">
        <f>IF($B52="","",VLOOKUP($B52,Data!$H:$BB,2,FALSE))</f>
        <v/>
      </c>
      <c r="M52" s="218" t="str">
        <f>IF($B52="","",VLOOKUP($B52,Data!$H:$BB,3,FALSE))</f>
        <v/>
      </c>
      <c r="N52" s="172" t="str">
        <f>IF($B52="","",VLOOKUP($B52,Data!$H:$BB,4,FALSE))</f>
        <v/>
      </c>
    </row>
    <row r="53" spans="1:14" ht="20.100000000000001" customHeight="1" x14ac:dyDescent="0.2">
      <c r="A53" s="169" t="str">
        <f t="shared" si="3"/>
        <v/>
      </c>
      <c r="B53" s="167" t="str">
        <f>IF(A53="","",VLOOKUP($A53,tco_data!$A:$C,3,FALSE))</f>
        <v/>
      </c>
      <c r="C53" s="221" t="str">
        <f>IF(A53="","",VLOOKUP($A53,tco_data!$A:$O,15,FALSE))</f>
        <v/>
      </c>
      <c r="D53" s="220" t="str">
        <f>IF(A53="","",VLOOKUP($A53,tco_data!$A:$E,5,FALSE))</f>
        <v/>
      </c>
      <c r="E53" s="214" t="str">
        <f>IF(A53="","",VLOOKUP($A53,tco_data!$A:$E,4,FALSE)&amp;" - "&amp;VLOOKUP($A53,tco_data!$A:$F,6,FALSE))</f>
        <v/>
      </c>
      <c r="F53" s="171" t="str">
        <f>IF(A53="","",VLOOKUP($A53,tco_data!$A:$O,12,FALSE))</f>
        <v/>
      </c>
      <c r="G53" s="212" t="str">
        <f>IF(A53="","",VLOOKUP($A53,tco_data!$A:$O,9,FALSE))</f>
        <v/>
      </c>
      <c r="H53" s="168" t="str">
        <f>IF(A53="","",VLOOKUP($A53,tco_data!$A:$O,13,FALSE)+VLOOKUP($A53,tco_data!$A:$O,14,FALSE))</f>
        <v/>
      </c>
      <c r="I53" s="216" t="str">
        <f t="shared" si="2"/>
        <v/>
      </c>
      <c r="J53" s="28" t="str">
        <f>IF($A53="","",VLOOKUP($A53,tco_data!$A:$O,10,FALSE))</f>
        <v/>
      </c>
      <c r="K53" s="217" t="str">
        <f>IF($A53="","",VLOOKUP($A53,tco_data!$A:$O,11,FALSE))</f>
        <v/>
      </c>
      <c r="L53" s="172" t="str">
        <f>IF($B53="","",VLOOKUP($B53,Data!$H:$BB,2,FALSE))</f>
        <v/>
      </c>
      <c r="M53" s="218" t="str">
        <f>IF($B53="","",VLOOKUP($B53,Data!$H:$BB,3,FALSE))</f>
        <v/>
      </c>
      <c r="N53" s="172" t="str">
        <f>IF($B53="","",VLOOKUP($B53,Data!$H:$BB,4,FALSE))</f>
        <v/>
      </c>
    </row>
    <row r="54" spans="1:14" ht="20.100000000000001" customHeight="1" x14ac:dyDescent="0.2">
      <c r="A54" s="169" t="str">
        <f t="shared" si="3"/>
        <v/>
      </c>
      <c r="B54" s="167" t="str">
        <f>IF(A54="","",VLOOKUP($A54,tco_data!$A:$C,3,FALSE))</f>
        <v/>
      </c>
      <c r="C54" s="221" t="str">
        <f>IF(A54="","",VLOOKUP($A54,tco_data!$A:$O,15,FALSE))</f>
        <v/>
      </c>
      <c r="D54" s="220" t="str">
        <f>IF(A54="","",VLOOKUP($A54,tco_data!$A:$E,5,FALSE))</f>
        <v/>
      </c>
      <c r="E54" s="214" t="str">
        <f>IF(A54="","",VLOOKUP($A54,tco_data!$A:$E,4,FALSE)&amp;" - "&amp;VLOOKUP($A54,tco_data!$A:$F,6,FALSE))</f>
        <v/>
      </c>
      <c r="F54" s="171" t="str">
        <f>IF(A54="","",VLOOKUP($A54,tco_data!$A:$O,12,FALSE))</f>
        <v/>
      </c>
      <c r="G54" s="212" t="str">
        <f>IF(A54="","",VLOOKUP($A54,tco_data!$A:$O,9,FALSE))</f>
        <v/>
      </c>
      <c r="H54" s="168" t="str">
        <f>IF(A54="","",VLOOKUP($A54,tco_data!$A:$O,13,FALSE)+VLOOKUP($A54,tco_data!$A:$O,14,FALSE))</f>
        <v/>
      </c>
      <c r="I54" s="216" t="str">
        <f t="shared" si="2"/>
        <v/>
      </c>
      <c r="J54" s="28" t="str">
        <f>IF($A54="","",VLOOKUP($A54,tco_data!$A:$O,10,FALSE))</f>
        <v/>
      </c>
      <c r="K54" s="217" t="str">
        <f>IF($A54="","",VLOOKUP($A54,tco_data!$A:$O,11,FALSE))</f>
        <v/>
      </c>
      <c r="L54" s="172" t="str">
        <f>IF($B54="","",VLOOKUP($B54,Data!$H:$BB,2,FALSE))</f>
        <v/>
      </c>
      <c r="M54" s="218" t="str">
        <f>IF($B54="","",VLOOKUP($B54,Data!$H:$BB,3,FALSE))</f>
        <v/>
      </c>
      <c r="N54" s="172" t="str">
        <f>IF($B54="","",VLOOKUP($B54,Data!$H:$BB,4,FALSE))</f>
        <v/>
      </c>
    </row>
    <row r="55" spans="1:14" ht="20.100000000000001" customHeight="1" x14ac:dyDescent="0.2">
      <c r="A55" s="169" t="str">
        <f t="shared" si="3"/>
        <v/>
      </c>
      <c r="B55" s="167" t="str">
        <f>IF(A55="","",VLOOKUP($A55,tco_data!$A:$C,3,FALSE))</f>
        <v/>
      </c>
      <c r="C55" s="221" t="str">
        <f>IF(A55="","",VLOOKUP($A55,tco_data!$A:$O,15,FALSE))</f>
        <v/>
      </c>
      <c r="D55" s="220" t="str">
        <f>IF(A55="","",VLOOKUP($A55,tco_data!$A:$E,5,FALSE))</f>
        <v/>
      </c>
      <c r="E55" s="214" t="str">
        <f>IF(A55="","",VLOOKUP($A55,tco_data!$A:$E,4,FALSE)&amp;" - "&amp;VLOOKUP($A55,tco_data!$A:$F,6,FALSE))</f>
        <v/>
      </c>
      <c r="F55" s="171" t="str">
        <f>IF(A55="","",VLOOKUP($A55,tco_data!$A:$O,12,FALSE))</f>
        <v/>
      </c>
      <c r="G55" s="212" t="str">
        <f>IF(A55="","",VLOOKUP($A55,tco_data!$A:$O,9,FALSE))</f>
        <v/>
      </c>
      <c r="H55" s="168" t="str">
        <f>IF(A55="","",VLOOKUP($A55,tco_data!$A:$O,13,FALSE)+VLOOKUP($A55,tco_data!$A:$O,14,FALSE))</f>
        <v/>
      </c>
      <c r="I55" s="216" t="str">
        <f t="shared" si="2"/>
        <v/>
      </c>
      <c r="J55" s="28" t="str">
        <f>IF($A55="","",VLOOKUP($A55,tco_data!$A:$O,10,FALSE))</f>
        <v/>
      </c>
      <c r="K55" s="217" t="str">
        <f>IF($A55="","",VLOOKUP($A55,tco_data!$A:$O,11,FALSE))</f>
        <v/>
      </c>
      <c r="L55" s="172" t="str">
        <f>IF($B55="","",VLOOKUP($B55,Data!$H:$BB,2,FALSE))</f>
        <v/>
      </c>
      <c r="M55" s="218" t="str">
        <f>IF($B55="","",VLOOKUP($B55,Data!$H:$BB,3,FALSE))</f>
        <v/>
      </c>
      <c r="N55" s="172" t="str">
        <f>IF($B55="","",VLOOKUP($B55,Data!$H:$BB,4,FALSE))</f>
        <v/>
      </c>
    </row>
  </sheetData>
  <sheetProtection algorithmName="SHA-512" hashValue="zEyDgMpNOiSTcNG/TVSf6nGcl9t4LmSsgQIrEt3W8Em1mnGTWBVVuJK9BKtOEdjf03+FXP7wSZgTa3j0bAiQyQ==" saltValue="15xlvIUyxiqkH6qjiZ6Sqg==" spinCount="100000" sheet="1" formatCells="0" formatColumns="0" formatRows="0" sort="0" autoFilter="0" pivotTables="0"/>
  <autoFilter ref="A5:N55" xr:uid="{486B74EB-E55D-41A1-9195-D42DE468C7FE}"/>
  <mergeCells count="3">
    <mergeCell ref="A2:H2"/>
    <mergeCell ref="A4:N4"/>
    <mergeCell ref="A1:N1"/>
  </mergeCells>
  <conditionalFormatting sqref="J3">
    <cfRule type="expression" dxfId="162" priority="1">
      <formula>AND(RIGHT($H$3,2)="BW",$F$3&gt;0)</formula>
    </cfRule>
  </conditionalFormatting>
  <dataValidations count="4">
    <dataValidation type="decimal" allowBlank="1" showInputMessage="1" showErrorMessage="1" sqref="F3" xr:uid="{00000000-0002-0000-0100-000000000000}">
      <formula1>0</formula1>
      <formula2>1</formula2>
    </dataValidation>
    <dataValidation type="whole" allowBlank="1" showInputMessage="1" showErrorMessage="1" sqref="D3" xr:uid="{00000000-0002-0000-0100-000001000000}">
      <formula1>0</formula1>
      <formula2>5000000</formula2>
    </dataValidation>
    <dataValidation type="list" allowBlank="1" showInputMessage="1" showErrorMessage="1" sqref="B3" xr:uid="{00000000-0002-0000-0100-000002000000}">
      <formula1>Locations</formula1>
    </dataValidation>
    <dataValidation type="list" allowBlank="1" showInputMessage="1" showErrorMessage="1" sqref="H3" xr:uid="{00000000-0002-0000-0100-000003000000}">
      <formula1>TCODevTypes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DFE5AF"/>
    <pageSetUpPr fitToPage="1"/>
  </sheetPr>
  <dimension ref="A1:S22"/>
  <sheetViews>
    <sheetView workbookViewId="0">
      <selection activeCell="M11" sqref="M11"/>
    </sheetView>
  </sheetViews>
  <sheetFormatPr defaultColWidth="9.140625" defaultRowHeight="12.75" x14ac:dyDescent="0.2"/>
  <cols>
    <col min="1" max="1" width="5.140625" style="1" customWidth="1"/>
    <col min="2" max="2" width="24.7109375" style="1" customWidth="1"/>
    <col min="3" max="3" width="12.140625" style="1" customWidth="1"/>
    <col min="4" max="10" width="8.7109375" style="1" customWidth="1"/>
    <col min="11" max="11" width="8.7109375" style="3" customWidth="1"/>
    <col min="12" max="12" width="12.7109375" style="1" customWidth="1"/>
    <col min="13" max="13" width="8.7109375" style="3" customWidth="1"/>
    <col min="14" max="14" width="8.7109375" style="1" customWidth="1"/>
    <col min="15" max="15" width="8.7109375" style="3" customWidth="1"/>
    <col min="16" max="16" width="8.7109375" style="1" customWidth="1"/>
    <col min="17" max="17" width="8.7109375" style="3" customWidth="1"/>
    <col min="18" max="18" width="8.7109375" style="1" customWidth="1"/>
    <col min="19" max="19" width="8.7109375" style="3" customWidth="1"/>
    <col min="20" max="16384" width="9.140625" style="1"/>
  </cols>
  <sheetData>
    <row r="1" spans="1:19" ht="20.100000000000001" customHeight="1" x14ac:dyDescent="0.2">
      <c r="A1" s="376" t="s">
        <v>1692</v>
      </c>
      <c r="B1" s="377"/>
      <c r="C1" s="377"/>
      <c r="D1" s="377"/>
      <c r="E1" s="377"/>
      <c r="F1" s="377"/>
      <c r="G1" s="377"/>
      <c r="H1" s="377"/>
      <c r="I1" s="377"/>
      <c r="J1" s="377"/>
      <c r="K1" s="377"/>
      <c r="L1" s="377"/>
      <c r="M1" s="377"/>
      <c r="N1" s="377"/>
      <c r="O1" s="377"/>
      <c r="P1" s="377"/>
      <c r="Q1" s="377"/>
      <c r="R1" s="378"/>
    </row>
    <row r="2" spans="1:19" ht="17.45" customHeight="1" x14ac:dyDescent="0.2">
      <c r="A2" s="379" t="s">
        <v>1790</v>
      </c>
      <c r="B2" s="380"/>
      <c r="C2" s="380"/>
      <c r="D2" s="380"/>
      <c r="E2" s="380"/>
      <c r="F2" s="380"/>
      <c r="G2" s="380"/>
      <c r="H2" s="380"/>
      <c r="I2" s="380"/>
      <c r="J2" s="380"/>
      <c r="K2" s="380"/>
      <c r="L2" s="381"/>
      <c r="M2" s="381"/>
      <c r="N2" s="381"/>
      <c r="O2" s="381"/>
      <c r="P2" s="381"/>
      <c r="Q2" s="381"/>
      <c r="R2" s="382"/>
    </row>
    <row r="4" spans="1:19" ht="20.100000000000001" customHeight="1" x14ac:dyDescent="0.2">
      <c r="A4" s="358" t="s">
        <v>1788</v>
      </c>
      <c r="B4" s="389"/>
      <c r="C4" s="389"/>
      <c r="D4" s="389"/>
      <c r="E4" s="389"/>
      <c r="F4" s="389"/>
      <c r="G4" s="389"/>
      <c r="H4" s="389"/>
      <c r="I4" s="389"/>
      <c r="J4" s="389"/>
      <c r="K4" s="389"/>
      <c r="L4" s="389"/>
      <c r="M4" s="389"/>
      <c r="N4" s="389"/>
      <c r="O4" s="389"/>
      <c r="P4" s="389"/>
      <c r="Q4" s="389"/>
      <c r="R4" s="390"/>
    </row>
    <row r="5" spans="1:19" ht="30" customHeight="1" x14ac:dyDescent="0.2">
      <c r="A5" s="2"/>
      <c r="B5" s="118" t="s">
        <v>16</v>
      </c>
      <c r="C5" s="386" t="s">
        <v>2013</v>
      </c>
      <c r="D5" s="387"/>
      <c r="E5" s="387"/>
      <c r="F5" s="388"/>
      <c r="G5" s="386" t="s">
        <v>10</v>
      </c>
      <c r="H5" s="387"/>
      <c r="I5" s="387"/>
      <c r="J5" s="388"/>
      <c r="K5" s="386" t="s">
        <v>7</v>
      </c>
      <c r="L5" s="387"/>
      <c r="M5" s="387"/>
      <c r="N5" s="388"/>
      <c r="O5" s="386" t="s">
        <v>8</v>
      </c>
      <c r="P5" s="387"/>
      <c r="Q5" s="387"/>
      <c r="R5" s="388"/>
      <c r="S5" s="1"/>
    </row>
    <row r="6" spans="1:19" ht="30" customHeight="1" thickBot="1" x14ac:dyDescent="0.25">
      <c r="A6" s="2"/>
      <c r="B6" s="119" t="s">
        <v>4</v>
      </c>
      <c r="C6" s="120" t="s">
        <v>11</v>
      </c>
      <c r="D6" s="120" t="s">
        <v>12</v>
      </c>
      <c r="E6" s="120" t="s">
        <v>15</v>
      </c>
      <c r="F6" s="120" t="s">
        <v>14</v>
      </c>
      <c r="G6" s="120" t="s">
        <v>11</v>
      </c>
      <c r="H6" s="120" t="s">
        <v>12</v>
      </c>
      <c r="I6" s="120" t="s">
        <v>15</v>
      </c>
      <c r="J6" s="120" t="s">
        <v>14</v>
      </c>
      <c r="K6" s="120" t="s">
        <v>11</v>
      </c>
      <c r="L6" s="120" t="s">
        <v>12</v>
      </c>
      <c r="M6" s="120" t="s">
        <v>15</v>
      </c>
      <c r="N6" s="120" t="s">
        <v>14</v>
      </c>
      <c r="O6" s="120" t="s">
        <v>11</v>
      </c>
      <c r="P6" s="120" t="s">
        <v>12</v>
      </c>
      <c r="Q6" s="120" t="s">
        <v>15</v>
      </c>
      <c r="R6" s="120" t="s">
        <v>14</v>
      </c>
      <c r="S6" s="1"/>
    </row>
    <row r="7" spans="1:19" ht="20.100000000000001" customHeight="1" x14ac:dyDescent="0.2">
      <c r="A7" s="2"/>
      <c r="B7" s="103" t="s">
        <v>17</v>
      </c>
      <c r="C7" s="104">
        <v>0.35</v>
      </c>
      <c r="D7" s="104">
        <v>0.4</v>
      </c>
      <c r="E7" s="104">
        <v>0.44</v>
      </c>
      <c r="F7" s="104">
        <v>0.48</v>
      </c>
      <c r="G7" s="112">
        <v>0.6</v>
      </c>
      <c r="H7" s="112">
        <v>0.6</v>
      </c>
      <c r="I7" s="112">
        <v>0.6</v>
      </c>
      <c r="J7" s="112">
        <v>0.6</v>
      </c>
      <c r="K7" s="112">
        <v>0.3</v>
      </c>
      <c r="L7" s="112">
        <v>0.25</v>
      </c>
      <c r="M7" s="112">
        <v>0.24</v>
      </c>
      <c r="N7" s="112">
        <v>0.43</v>
      </c>
      <c r="O7" s="112">
        <v>0.4</v>
      </c>
      <c r="P7" s="112">
        <v>0.4</v>
      </c>
      <c r="Q7" s="112">
        <v>0.4</v>
      </c>
      <c r="R7" s="113">
        <v>0.4</v>
      </c>
      <c r="S7" s="1"/>
    </row>
    <row r="8" spans="1:19" ht="20.100000000000001" customHeight="1" x14ac:dyDescent="0.2">
      <c r="A8" s="2"/>
      <c r="B8" s="106" t="s">
        <v>18</v>
      </c>
      <c r="C8" s="140">
        <v>0.58499999999999996</v>
      </c>
      <c r="D8" s="140">
        <v>0.58499999999999996</v>
      </c>
      <c r="E8" s="99">
        <v>0.58499999999999996</v>
      </c>
      <c r="F8" s="99">
        <v>0.2</v>
      </c>
      <c r="G8" s="101">
        <v>0.45</v>
      </c>
      <c r="H8" s="101">
        <v>0.45</v>
      </c>
      <c r="I8" s="101">
        <v>0.45</v>
      </c>
      <c r="J8" s="101">
        <v>0.45</v>
      </c>
      <c r="K8" s="101">
        <v>0.2</v>
      </c>
      <c r="L8" s="101">
        <v>0.2</v>
      </c>
      <c r="M8" s="101">
        <v>0.2</v>
      </c>
      <c r="N8" s="101">
        <v>0.2</v>
      </c>
      <c r="O8" s="101">
        <v>0.16</v>
      </c>
      <c r="P8" s="101">
        <v>0.16</v>
      </c>
      <c r="Q8" s="101">
        <v>0.16</v>
      </c>
      <c r="R8" s="114">
        <v>0.16</v>
      </c>
      <c r="S8" s="1"/>
    </row>
    <row r="9" spans="1:19" ht="20.100000000000001" customHeight="1" x14ac:dyDescent="0.2">
      <c r="A9" s="2"/>
      <c r="B9" s="106" t="s">
        <v>19</v>
      </c>
      <c r="C9" s="141">
        <v>0.3256</v>
      </c>
      <c r="D9" s="141">
        <v>0.3256</v>
      </c>
      <c r="E9" s="98">
        <v>0.3256</v>
      </c>
      <c r="F9" s="98">
        <v>0.15</v>
      </c>
      <c r="G9" s="100">
        <v>0.45</v>
      </c>
      <c r="H9" s="100">
        <v>0.45</v>
      </c>
      <c r="I9" s="100">
        <v>0.45</v>
      </c>
      <c r="J9" s="100">
        <v>0.45</v>
      </c>
      <c r="K9" s="100">
        <v>0.2</v>
      </c>
      <c r="L9" s="100">
        <v>0.2</v>
      </c>
      <c r="M9" s="100">
        <v>0.2</v>
      </c>
      <c r="N9" s="100">
        <v>0.2</v>
      </c>
      <c r="O9" s="100">
        <v>0.16</v>
      </c>
      <c r="P9" s="100">
        <v>0.16</v>
      </c>
      <c r="Q9" s="100">
        <v>0.16</v>
      </c>
      <c r="R9" s="115">
        <v>0.16</v>
      </c>
      <c r="S9" s="1"/>
    </row>
    <row r="10" spans="1:19" ht="20.100000000000001" customHeight="1" x14ac:dyDescent="0.2">
      <c r="A10" s="2"/>
      <c r="B10" s="106" t="s">
        <v>20</v>
      </c>
      <c r="C10" s="99" t="s">
        <v>0</v>
      </c>
      <c r="D10" s="99" t="s">
        <v>0</v>
      </c>
      <c r="E10" s="99" t="s">
        <v>0</v>
      </c>
      <c r="F10" s="99" t="s">
        <v>0</v>
      </c>
      <c r="G10" s="101">
        <v>0.1</v>
      </c>
      <c r="H10" s="101">
        <v>0.1</v>
      </c>
      <c r="I10" s="101">
        <v>0.1</v>
      </c>
      <c r="J10" s="101">
        <v>0.1</v>
      </c>
      <c r="K10" s="101">
        <v>0.15</v>
      </c>
      <c r="L10" s="101">
        <v>0.15</v>
      </c>
      <c r="M10" s="101">
        <v>0.15</v>
      </c>
      <c r="N10" s="101">
        <v>0.15</v>
      </c>
      <c r="O10" s="101" t="s">
        <v>0</v>
      </c>
      <c r="P10" s="101" t="s">
        <v>0</v>
      </c>
      <c r="Q10" s="101" t="s">
        <v>0</v>
      </c>
      <c r="R10" s="114" t="s">
        <v>0</v>
      </c>
      <c r="S10" s="1"/>
    </row>
    <row r="11" spans="1:19" ht="20.100000000000001" customHeight="1" thickBot="1" x14ac:dyDescent="0.25">
      <c r="A11" s="2"/>
      <c r="B11" s="109" t="s">
        <v>21</v>
      </c>
      <c r="C11" s="110">
        <v>0.55000000000000004</v>
      </c>
      <c r="D11" s="110">
        <v>0.55000000000000004</v>
      </c>
      <c r="E11" s="110">
        <v>0.55000000000000004</v>
      </c>
      <c r="F11" s="110">
        <v>0.55000000000000004</v>
      </c>
      <c r="G11" s="116">
        <v>0.5</v>
      </c>
      <c r="H11" s="116">
        <v>0.5</v>
      </c>
      <c r="I11" s="116">
        <v>0.5</v>
      </c>
      <c r="J11" s="116">
        <v>0.5</v>
      </c>
      <c r="K11" s="116">
        <v>0.125</v>
      </c>
      <c r="L11" s="116">
        <v>0.12</v>
      </c>
      <c r="M11" s="116">
        <v>0.56999999999999995</v>
      </c>
      <c r="N11" s="116">
        <v>0.5</v>
      </c>
      <c r="O11" s="116">
        <v>0.45</v>
      </c>
      <c r="P11" s="116">
        <v>0.45</v>
      </c>
      <c r="Q11" s="116">
        <v>0.45</v>
      </c>
      <c r="R11" s="117">
        <v>0.45</v>
      </c>
      <c r="S11" s="1"/>
    </row>
    <row r="12" spans="1:19" ht="30" customHeight="1" x14ac:dyDescent="0.2">
      <c r="B12" s="391" t="s">
        <v>1684</v>
      </c>
      <c r="C12" s="391"/>
      <c r="D12" s="391"/>
      <c r="E12" s="391"/>
      <c r="F12" s="391"/>
      <c r="G12" s="391"/>
      <c r="H12" s="392"/>
      <c r="I12" s="392"/>
      <c r="J12" s="392"/>
      <c r="K12" s="392"/>
      <c r="L12" s="392"/>
      <c r="M12" s="392"/>
      <c r="N12" s="392"/>
      <c r="O12" s="392"/>
      <c r="P12" s="392"/>
      <c r="Q12" s="392"/>
      <c r="R12" s="392"/>
    </row>
    <row r="13" spans="1:19" ht="9.9499999999999993" customHeight="1" x14ac:dyDescent="0.2"/>
    <row r="14" spans="1:19" ht="20.100000000000001" customHeight="1" x14ac:dyDescent="0.2">
      <c r="A14" s="383" t="s">
        <v>1789</v>
      </c>
      <c r="B14" s="384"/>
      <c r="C14" s="384"/>
      <c r="D14" s="384"/>
      <c r="E14" s="384"/>
      <c r="F14" s="384"/>
      <c r="G14" s="384"/>
      <c r="H14" s="384"/>
      <c r="I14" s="384"/>
      <c r="J14" s="384"/>
      <c r="K14" s="385"/>
      <c r="L14" s="3"/>
      <c r="N14" s="3"/>
      <c r="P14" s="3"/>
      <c r="R14" s="3"/>
    </row>
    <row r="15" spans="1:19" ht="20.100000000000001" customHeight="1" x14ac:dyDescent="0.2">
      <c r="B15" s="118" t="s">
        <v>16</v>
      </c>
      <c r="C15" s="386" t="s">
        <v>10</v>
      </c>
      <c r="D15" s="387"/>
      <c r="E15" s="388"/>
      <c r="F15" s="386" t="s">
        <v>7</v>
      </c>
      <c r="G15" s="387"/>
      <c r="H15" s="388"/>
      <c r="I15" s="386" t="s">
        <v>8</v>
      </c>
      <c r="J15" s="387"/>
      <c r="K15" s="388"/>
      <c r="M15" s="1"/>
      <c r="S15" s="1"/>
    </row>
    <row r="16" spans="1:19" ht="30.75" thickBot="1" x14ac:dyDescent="0.25">
      <c r="B16" s="119" t="s">
        <v>4</v>
      </c>
      <c r="C16" s="120" t="s">
        <v>12</v>
      </c>
      <c r="D16" s="120" t="s">
        <v>15</v>
      </c>
      <c r="E16" s="120" t="s">
        <v>14</v>
      </c>
      <c r="F16" s="120" t="s">
        <v>12</v>
      </c>
      <c r="G16" s="120" t="s">
        <v>15</v>
      </c>
      <c r="H16" s="120" t="s">
        <v>14</v>
      </c>
      <c r="I16" s="120" t="s">
        <v>12</v>
      </c>
      <c r="J16" s="120" t="s">
        <v>15</v>
      </c>
      <c r="K16" s="120" t="s">
        <v>14</v>
      </c>
      <c r="L16" s="3"/>
      <c r="M16" s="1"/>
      <c r="N16" s="3"/>
      <c r="O16" s="1"/>
      <c r="P16" s="3"/>
      <c r="Q16" s="1"/>
      <c r="S16" s="1"/>
    </row>
    <row r="17" spans="2:19" ht="20.100000000000001" customHeight="1" x14ac:dyDescent="0.2">
      <c r="B17" s="103" t="s">
        <v>17</v>
      </c>
      <c r="C17" s="104">
        <v>0.6</v>
      </c>
      <c r="D17" s="104">
        <v>0.6</v>
      </c>
      <c r="E17" s="104">
        <v>0.6</v>
      </c>
      <c r="F17" s="104">
        <v>0.25</v>
      </c>
      <c r="G17" s="104">
        <v>0.24690000000000001</v>
      </c>
      <c r="H17" s="104">
        <v>0.24909999999999999</v>
      </c>
      <c r="I17" s="104">
        <v>0.35</v>
      </c>
      <c r="J17" s="104">
        <v>0.35</v>
      </c>
      <c r="K17" s="105">
        <v>0.35</v>
      </c>
      <c r="L17" s="3"/>
      <c r="M17" s="1"/>
      <c r="N17" s="3"/>
      <c r="O17" s="1"/>
      <c r="P17" s="3"/>
      <c r="Q17" s="1"/>
      <c r="S17" s="1"/>
    </row>
    <row r="18" spans="2:19" ht="20.100000000000001" customHeight="1" x14ac:dyDescent="0.2">
      <c r="B18" s="106" t="s">
        <v>18</v>
      </c>
      <c r="C18" s="99">
        <v>0.45</v>
      </c>
      <c r="D18" s="99">
        <v>0.45</v>
      </c>
      <c r="E18" s="99">
        <v>0.45</v>
      </c>
      <c r="F18" s="99">
        <v>0.2</v>
      </c>
      <c r="G18" s="99">
        <v>0.2</v>
      </c>
      <c r="H18" s="99">
        <v>0.2</v>
      </c>
      <c r="I18" s="99">
        <v>0.16</v>
      </c>
      <c r="J18" s="99">
        <v>0.16</v>
      </c>
      <c r="K18" s="107">
        <v>0.16</v>
      </c>
      <c r="L18" s="3"/>
      <c r="M18" s="1"/>
      <c r="N18" s="3"/>
      <c r="O18" s="1"/>
      <c r="P18" s="3"/>
      <c r="Q18" s="1"/>
      <c r="S18" s="1"/>
    </row>
    <row r="19" spans="2:19" ht="20.100000000000001" customHeight="1" x14ac:dyDescent="0.2">
      <c r="B19" s="106" t="s">
        <v>19</v>
      </c>
      <c r="C19" s="98">
        <v>0.45</v>
      </c>
      <c r="D19" s="98">
        <v>0.45</v>
      </c>
      <c r="E19" s="98">
        <v>0.45</v>
      </c>
      <c r="F19" s="98">
        <v>0.2</v>
      </c>
      <c r="G19" s="98">
        <v>0.2</v>
      </c>
      <c r="H19" s="98">
        <v>0.2</v>
      </c>
      <c r="I19" s="98">
        <v>0.16</v>
      </c>
      <c r="J19" s="98">
        <v>0.16</v>
      </c>
      <c r="K19" s="108">
        <v>0.16</v>
      </c>
      <c r="L19" s="3"/>
      <c r="M19" s="1"/>
      <c r="N19" s="3"/>
      <c r="O19" s="1"/>
      <c r="P19" s="3"/>
      <c r="Q19" s="1"/>
      <c r="S19" s="1"/>
    </row>
    <row r="20" spans="2:19" ht="20.100000000000001" customHeight="1" x14ac:dyDescent="0.2">
      <c r="B20" s="106" t="s">
        <v>20</v>
      </c>
      <c r="C20" s="99">
        <v>0.1</v>
      </c>
      <c r="D20" s="99">
        <v>0.1</v>
      </c>
      <c r="E20" s="99">
        <v>0.1</v>
      </c>
      <c r="F20" s="99">
        <v>0.15</v>
      </c>
      <c r="G20" s="99">
        <v>0.15</v>
      </c>
      <c r="H20" s="99">
        <v>0.15</v>
      </c>
      <c r="I20" s="98" t="s">
        <v>717</v>
      </c>
      <c r="J20" s="98" t="s">
        <v>717</v>
      </c>
      <c r="K20" s="108" t="s">
        <v>1252</v>
      </c>
      <c r="L20" s="3"/>
      <c r="M20" s="1"/>
      <c r="N20" s="3"/>
      <c r="O20" s="1"/>
      <c r="P20" s="3"/>
      <c r="Q20" s="1"/>
      <c r="S20" s="1"/>
    </row>
    <row r="21" spans="2:19" ht="20.100000000000001" customHeight="1" thickBot="1" x14ac:dyDescent="0.25">
      <c r="B21" s="109" t="s">
        <v>21</v>
      </c>
      <c r="C21" s="110">
        <v>0.5</v>
      </c>
      <c r="D21" s="110">
        <v>0.5</v>
      </c>
      <c r="E21" s="110">
        <v>0.5</v>
      </c>
      <c r="F21" s="110">
        <v>0.25</v>
      </c>
      <c r="G21" s="110">
        <v>0.4</v>
      </c>
      <c r="H21" s="110">
        <v>0.4</v>
      </c>
      <c r="I21" s="110">
        <v>0.3</v>
      </c>
      <c r="J21" s="110">
        <v>0.3</v>
      </c>
      <c r="K21" s="111">
        <v>0.3</v>
      </c>
      <c r="L21" s="3"/>
      <c r="M21" s="1"/>
      <c r="N21" s="3"/>
      <c r="O21" s="1"/>
      <c r="P21" s="3"/>
      <c r="Q21" s="1"/>
      <c r="S21" s="1"/>
    </row>
    <row r="22" spans="2:19" ht="9.9499999999999993" customHeight="1" x14ac:dyDescent="0.2"/>
  </sheetData>
  <sheetProtection algorithmName="SHA-512" hashValue="EY1j36X3116CoDtw8S+ngqjKWywDDNQkKoFVnY8lTh6JyFR0BjPabBA9sKw1hrnm44TrNvaM5g0uC33itu2UpA==" saltValue="IooWBLlLu7Qs0A9GN3lNqw==" spinCount="100000" sheet="1" objects="1" scenarios="1" formatCells="0" formatColumns="0" formatRows="0" sort="0" autoFilter="0"/>
  <mergeCells count="12">
    <mergeCell ref="A1:R1"/>
    <mergeCell ref="A2:R2"/>
    <mergeCell ref="A14:K14"/>
    <mergeCell ref="C15:E15"/>
    <mergeCell ref="F15:H15"/>
    <mergeCell ref="I15:K15"/>
    <mergeCell ref="A4:R4"/>
    <mergeCell ref="C5:F5"/>
    <mergeCell ref="G5:J5"/>
    <mergeCell ref="K5:N5"/>
    <mergeCell ref="O5:R5"/>
    <mergeCell ref="B12:R12"/>
  </mergeCells>
  <pageMargins left="0.70866141732283472" right="0.70866141732283472" top="0.74803149606299213" bottom="0.74803149606299213" header="0.31496062992125984" footer="0.31496062992125984"/>
  <pageSetup paperSize="9" scale="9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rgb="FF8C528E"/>
  </sheetPr>
  <dimension ref="A1:R68"/>
  <sheetViews>
    <sheetView zoomScale="90" zoomScaleNormal="90" workbookViewId="0">
      <selection activeCell="J11" sqref="J11"/>
    </sheetView>
  </sheetViews>
  <sheetFormatPr defaultColWidth="9.140625" defaultRowHeight="12.75" zeroHeight="1" x14ac:dyDescent="0.2"/>
  <cols>
    <col min="1" max="1" width="14.7109375" style="1" customWidth="1"/>
    <col min="2" max="2" width="28.7109375" style="1" customWidth="1"/>
    <col min="3" max="3" width="16.28515625" style="1" customWidth="1"/>
    <col min="4" max="4" width="15.7109375" style="1" customWidth="1"/>
    <col min="5" max="5" width="15.7109375" style="10" customWidth="1"/>
    <col min="6" max="18" width="15.7109375" style="1" customWidth="1"/>
    <col min="19" max="19" width="10.28515625" style="1" bestFit="1" customWidth="1"/>
    <col min="20" max="16384" width="9.140625" style="1"/>
  </cols>
  <sheetData>
    <row r="1" spans="1:18" ht="21" customHeight="1" x14ac:dyDescent="0.2">
      <c r="A1" s="376" t="s">
        <v>2061</v>
      </c>
      <c r="B1" s="377"/>
      <c r="C1" s="377"/>
      <c r="D1" s="377"/>
      <c r="E1" s="377"/>
      <c r="F1" s="377"/>
      <c r="G1" s="377"/>
      <c r="H1" s="377"/>
      <c r="I1" s="377"/>
      <c r="J1" s="377"/>
      <c r="K1" s="377"/>
      <c r="L1" s="377"/>
      <c r="M1" s="377"/>
      <c r="N1" s="377"/>
      <c r="O1" s="377"/>
      <c r="P1" s="377"/>
      <c r="Q1" s="377"/>
      <c r="R1" s="378"/>
    </row>
    <row r="2" spans="1:18" ht="20.100000000000001" customHeight="1" x14ac:dyDescent="0.2">
      <c r="A2" s="376" t="s">
        <v>932</v>
      </c>
      <c r="B2" s="377"/>
      <c r="C2" s="377"/>
      <c r="D2" s="377"/>
      <c r="E2" s="377"/>
      <c r="F2" s="378"/>
      <c r="H2" s="376" t="s">
        <v>933</v>
      </c>
      <c r="I2" s="377"/>
      <c r="J2" s="377"/>
      <c r="K2" s="377"/>
      <c r="L2" s="378"/>
    </row>
    <row r="3" spans="1:18" ht="30" customHeight="1" x14ac:dyDescent="0.2">
      <c r="A3" s="72" t="s">
        <v>919</v>
      </c>
      <c r="B3" s="156" t="s">
        <v>1796</v>
      </c>
      <c r="C3" s="71" t="s">
        <v>1761</v>
      </c>
      <c r="D3" s="155">
        <v>100000</v>
      </c>
      <c r="E3" s="71" t="s">
        <v>923</v>
      </c>
      <c r="F3" s="154">
        <v>0.2</v>
      </c>
      <c r="H3" s="230" t="s">
        <v>935</v>
      </c>
      <c r="I3" s="231" t="s">
        <v>934</v>
      </c>
      <c r="J3" s="4" t="s">
        <v>938</v>
      </c>
      <c r="K3" s="232" t="s">
        <v>936</v>
      </c>
      <c r="L3" s="233" t="s">
        <v>937</v>
      </c>
    </row>
    <row r="4" spans="1:18" ht="9.9499999999999993" customHeight="1" x14ac:dyDescent="0.2">
      <c r="E4" s="1"/>
    </row>
    <row r="5" spans="1:18" ht="23.25" customHeight="1" x14ac:dyDescent="0.2">
      <c r="A5" s="376" t="s">
        <v>1712</v>
      </c>
      <c r="B5" s="377"/>
      <c r="C5" s="377"/>
      <c r="D5" s="377"/>
      <c r="E5" s="377"/>
      <c r="F5" s="377"/>
      <c r="G5" s="377"/>
      <c r="H5" s="377"/>
      <c r="I5" s="377"/>
      <c r="J5" s="378"/>
    </row>
    <row r="6" spans="1:18" ht="24.95" customHeight="1" x14ac:dyDescent="0.2">
      <c r="A6" s="400" t="s">
        <v>925</v>
      </c>
      <c r="B6" s="400" t="s">
        <v>65</v>
      </c>
      <c r="C6" s="414" t="s">
        <v>2013</v>
      </c>
      <c r="D6" s="415"/>
      <c r="E6" s="414" t="s">
        <v>10</v>
      </c>
      <c r="F6" s="415"/>
      <c r="G6" s="414" t="s">
        <v>7</v>
      </c>
      <c r="H6" s="415"/>
      <c r="I6" s="414" t="s">
        <v>8</v>
      </c>
      <c r="J6" s="415"/>
    </row>
    <row r="7" spans="1:18" ht="24.95" customHeight="1" x14ac:dyDescent="0.2">
      <c r="A7" s="399"/>
      <c r="B7" s="399"/>
      <c r="C7" s="63" t="s">
        <v>34</v>
      </c>
      <c r="D7" s="63" t="s">
        <v>35</v>
      </c>
      <c r="E7" s="63" t="s">
        <v>34</v>
      </c>
      <c r="F7" s="63" t="s">
        <v>35</v>
      </c>
      <c r="G7" s="63" t="s">
        <v>34</v>
      </c>
      <c r="H7" s="63" t="s">
        <v>35</v>
      </c>
      <c r="I7" s="63" t="s">
        <v>34</v>
      </c>
      <c r="J7" s="63" t="s">
        <v>35</v>
      </c>
    </row>
    <row r="8" spans="1:18" ht="24.95" customHeight="1" x14ac:dyDescent="0.2">
      <c r="A8" s="394" t="s">
        <v>37</v>
      </c>
      <c r="B8" s="64" t="s">
        <v>29</v>
      </c>
      <c r="C8" s="13" t="str">
        <f>IF(C9="Not Offered","Not Offered",VLOOKUP(C9,Data!$H:$CV,93,FALSE))</f>
        <v>AC325z</v>
      </c>
      <c r="D8" s="11" t="str">
        <f>IF(D9="Not Offered","Not Offered",VLOOKUP(D9,Data!$H:$CV,93,FALSE))</f>
        <v>APC2060</v>
      </c>
      <c r="E8" s="13" t="str">
        <f>IF(E9="Not Offered","Not Offered",VLOOKUP(E9,Data!$H:$CV,93,FALSE))</f>
        <v>C227ib-WA</v>
      </c>
      <c r="F8" s="11" t="str">
        <f>IF(F9="Not Offered","Not Offered",VLOOKUP(F9,Data!$H:$CV,93,FALSE))</f>
        <v>C250i-WA</v>
      </c>
      <c r="G8" s="13" t="str">
        <f>IF(G9="Not Offered","Not Offered",VLOOKUP(G9,Data!$H:$CV,93,FALSE))</f>
        <v>1102P43AS0</v>
      </c>
      <c r="H8" s="11" t="str">
        <f>IF(H9="Not Offered","Not Offered",VLOOKUP(H9,Data!$H:$CV,93,FALSE))</f>
        <v>1102YP3AU0</v>
      </c>
      <c r="I8" s="13">
        <f>IF(I9="Not Offered","Not Offered",VLOOKUP(I9,Data!$H:$CV,93,FALSE))</f>
        <v>418282</v>
      </c>
      <c r="J8" s="11">
        <f>IF(J9="Not Offered","Not Offered",VLOOKUP(J9,Data!$H:$CV,93,FALSE))</f>
        <v>418290</v>
      </c>
    </row>
    <row r="9" spans="1:18" ht="24.95" customHeight="1" x14ac:dyDescent="0.2">
      <c r="A9" s="395"/>
      <c r="B9" s="66" t="s">
        <v>72</v>
      </c>
      <c r="C9" s="13" t="str">
        <f>Data!$H2</f>
        <v>Apeos C325z</v>
      </c>
      <c r="D9" s="11" t="str">
        <f>Data!$H3</f>
        <v>ApeosPort C2060</v>
      </c>
      <c r="E9" s="13" t="str">
        <f>Data!$H16</f>
        <v>bizhub C227i</v>
      </c>
      <c r="F9" s="13" t="str">
        <f>Data!$H17</f>
        <v>bizhub C250i</v>
      </c>
      <c r="G9" s="13" t="str">
        <f>Data!$H30</f>
        <v>ECOSYS M8124cidn</v>
      </c>
      <c r="H9" s="11" t="str">
        <f>Data!$H31</f>
        <v>TASKalfa 2554ci</v>
      </c>
      <c r="I9" s="13" t="str">
        <f>Data!$H44</f>
        <v>IM C2010</v>
      </c>
      <c r="J9" s="11" t="str">
        <f>Data!$H45</f>
        <v>IM C2510</v>
      </c>
    </row>
    <row r="10" spans="1:18" ht="24.95" customHeight="1" x14ac:dyDescent="0.2">
      <c r="A10" s="395"/>
      <c r="B10" s="66" t="s">
        <v>33</v>
      </c>
      <c r="C10" s="13">
        <f>IF(C$8="Not Offered","",VLOOKUP(C$8,Data!$G:$BB,3,FALSE))</f>
        <v>31</v>
      </c>
      <c r="D10" s="11">
        <f>IF(D$8="Not Offered","",VLOOKUP(D$8,Data!$G:$BB,3,FALSE))</f>
        <v>20</v>
      </c>
      <c r="E10" s="13">
        <f>IF(E$8="Not Offered","",VLOOKUP(E$8,Data!$G:$BB,3,FALSE))</f>
        <v>22</v>
      </c>
      <c r="F10" s="11">
        <f>IF(F$8="Not Offered","",VLOOKUP(F$8,Data!$G:$BB,3,FALSE))</f>
        <v>25</v>
      </c>
      <c r="G10" s="13">
        <f>IF(G$8="Not Offered","",VLOOKUP(G$8,Data!$G:$BB,3,FALSE))</f>
        <v>24</v>
      </c>
      <c r="H10" s="11">
        <f>IF(H$8="Not Offered","",VLOOKUP(H$8,Data!$G:$BB,3,FALSE))</f>
        <v>25</v>
      </c>
      <c r="I10" s="13">
        <f>IF(I$8="Not Offered","",VLOOKUP(I$8,Data!$G:$BB,3,FALSE))</f>
        <v>20</v>
      </c>
      <c r="J10" s="11">
        <f>IF(J$8="Not Offered","",VLOOKUP(J$8,Data!$G:$BB,3,FALSE))</f>
        <v>25</v>
      </c>
    </row>
    <row r="11" spans="1:18" ht="24.95" customHeight="1" x14ac:dyDescent="0.2">
      <c r="A11" s="395"/>
      <c r="B11" s="66" t="s">
        <v>30</v>
      </c>
      <c r="C11" s="60">
        <f>IF(C$8="Not Offered","",VLOOKUP(C$8,Data!$G:$BB,4,FALSE))</f>
        <v>100000</v>
      </c>
      <c r="D11" s="59">
        <f>IF(D$8="Not Offered","",VLOOKUP(D$8,Data!$G:$BB,4,FALSE))</f>
        <v>1200000</v>
      </c>
      <c r="E11" s="60">
        <f>IF(E$8="Not Offered","",VLOOKUP(E$8,Data!$G:$BB,4,FALSE))</f>
        <v>600000</v>
      </c>
      <c r="F11" s="59">
        <f>IF(F$8="Not Offered","",VLOOKUP(F$8,Data!$G:$BB,4,FALSE))</f>
        <v>1000000</v>
      </c>
      <c r="G11" s="60">
        <f>IF(G$8="Not Offered","",VLOOKUP(G$8,Data!$G:$BB,4,FALSE))</f>
        <v>600000</v>
      </c>
      <c r="H11" s="59">
        <f>IF(H$8="Not Offered","",VLOOKUP(H$8,Data!$G:$BB,4,FALSE))</f>
        <v>900000</v>
      </c>
      <c r="I11" s="60">
        <f>IF(I$8="Not Offered","",VLOOKUP(I$8,Data!$G:$BB,4,FALSE))</f>
        <v>600000</v>
      </c>
      <c r="J11" s="59">
        <f>IF(J$8="Not Offered","",VLOOKUP(J$8,Data!$G:$BB,4,FALSE))</f>
        <v>600000</v>
      </c>
    </row>
    <row r="12" spans="1:18" ht="24.95" customHeight="1" x14ac:dyDescent="0.2">
      <c r="A12" s="340"/>
      <c r="B12" s="66" t="s">
        <v>31</v>
      </c>
      <c r="C12" s="60">
        <f>IF(C$8="Not Offered","",VLOOKUP(C$8,Data!$G:$BB,5,FALSE))</f>
        <v>129000</v>
      </c>
      <c r="D12" s="59">
        <f>IF(D$8="Not Offered","",VLOOKUP(D$8,Data!$G:$BB,5,FALSE))</f>
        <v>87000</v>
      </c>
      <c r="E12" s="60">
        <f>IF(E$8="Not Offered","",VLOOKUP(E$8,Data!$G:$BB,5,FALSE))</f>
        <v>10000</v>
      </c>
      <c r="F12" s="59">
        <f>IF(F$8="Not Offered","",VLOOKUP(F$8,Data!$G:$BB,5,FALSE))</f>
        <v>16667</v>
      </c>
      <c r="G12" s="60">
        <f>IF(G$8="Not Offered","",VLOOKUP(G$8,Data!$G:$BB,5,FALSE))</f>
        <v>14000</v>
      </c>
      <c r="H12" s="59">
        <f>IF(H$8="Not Offered","",VLOOKUP(H$8,Data!$G:$BB,5,FALSE))</f>
        <v>15000</v>
      </c>
      <c r="I12" s="60">
        <f>IF(I$8="Not Offered","",VLOOKUP(I$8,Data!$G:$BB,5,FALSE))</f>
        <v>10000</v>
      </c>
      <c r="J12" s="59">
        <f>IF(J$8="Not Offered","",VLOOKUP(J$8,Data!$G:$BB,5,FALSE))</f>
        <v>10000</v>
      </c>
    </row>
    <row r="13" spans="1:18" ht="24.75" customHeight="1" x14ac:dyDescent="0.2">
      <c r="A13" s="393" t="s">
        <v>63</v>
      </c>
      <c r="B13" s="66" t="s">
        <v>64</v>
      </c>
      <c r="C13" s="94">
        <f>IF(C$8="Not Offered","",VLOOKUP(C$8,Data!$G:$BB,6,FALSE))</f>
        <v>1076.9000000000001</v>
      </c>
      <c r="D13" s="67">
        <f>IF(D$8="Not Offered","",VLOOKUP(D$8,Data!$G:$BB,6,FALSE))</f>
        <v>3095.4</v>
      </c>
      <c r="E13" s="94">
        <f>IF(E$8="Not Offered","",VLOOKUP(E$8,Data!$G:$BB,6,FALSE))</f>
        <v>2792.4325000000003</v>
      </c>
      <c r="F13" s="67">
        <f>IF(F$8="Not Offered","",VLOOKUP(F$8,Data!$G:$BB,6,FALSE))</f>
        <v>3569.2525000000001</v>
      </c>
      <c r="G13" s="94">
        <f>IF(G$8="Not Offered","",VLOOKUP(G$8,Data!$G:$BB,6,FALSE))</f>
        <v>2784.1</v>
      </c>
      <c r="H13" s="67">
        <f>IF(H$8="Not Offered","",VLOOKUP(H$8,Data!$G:$BB,6,FALSE))</f>
        <v>3529.9</v>
      </c>
      <c r="I13" s="94">
        <f>IF(I$8="Not Offered","",VLOOKUP(I$8,Data!$G:$BB,6,FALSE))</f>
        <v>2764.4760000000001</v>
      </c>
      <c r="J13" s="67">
        <f>IF(J$8="Not Offered","",VLOOKUP(J$8,Data!$G:$BB,6,FALSE))</f>
        <v>3251.556</v>
      </c>
    </row>
    <row r="14" spans="1:18" ht="25.5" customHeight="1" x14ac:dyDescent="0.2">
      <c r="A14" s="396"/>
      <c r="B14" s="66" t="str">
        <f>$B$3&amp;" BW CPC"</f>
        <v>Zone 3 - Broome within 20km BW CPC</v>
      </c>
      <c r="C14" s="95">
        <f>IF(C$8="Not Offered","",VLOOKUP(C$8,Data!$G:$AL,5+2*(MATCH($B$3,Locations,0)),FALSE))</f>
        <v>1.32E-2</v>
      </c>
      <c r="D14" s="68">
        <f>IF(D$8="Not Offered","",VLOOKUP(D$8,Data!$G:$AL,5+2*(MATCH($B$3,Locations,0)),FALSE))</f>
        <v>9.3500000000000007E-3</v>
      </c>
      <c r="E14" s="95">
        <f>IF(E$8="Not Offered","",VLOOKUP(E$8,Data!$G:$AL,5+2*(MATCH($B$3,Locations,0)),FALSE))</f>
        <v>1.0999999999999999E-2</v>
      </c>
      <c r="F14" s="68">
        <f>IF(F$8="Not Offered","",VLOOKUP(F$8,Data!$G:$AL,5+2*(MATCH($B$3,Locations,0)),FALSE))</f>
        <v>1.0999999999999999E-2</v>
      </c>
      <c r="G14" s="95">
        <f>IF(G$8="Not Offered","",VLOOKUP(G$8,Data!$G:$AL,5+2*(MATCH($B$3,Locations,0)),FALSE))</f>
        <v>1.21E-2</v>
      </c>
      <c r="H14" s="68">
        <f>IF(H$8="Not Offered","",VLOOKUP(H$8,Data!$G:$AL,5+2*(MATCH($B$3,Locations,0)),FALSE))</f>
        <v>1.0999999999999999E-2</v>
      </c>
      <c r="I14" s="95">
        <f>IF(I$8="Not Offered","",VLOOKUP(I$8,Data!$G:$AL,5+2*(MATCH($B$3,Locations,0)),FALSE))</f>
        <v>1.7600000000000001E-2</v>
      </c>
      <c r="J14" s="68">
        <f>IF(J$8="Not Offered","",VLOOKUP(J$8,Data!$G:$AL,5+2*(MATCH($B$3,Locations,0)),FALSE))</f>
        <v>1.7600000000000001E-2</v>
      </c>
    </row>
    <row r="15" spans="1:18" ht="27" customHeight="1" x14ac:dyDescent="0.2">
      <c r="A15" s="396"/>
      <c r="B15" s="66" t="str">
        <f>$B$3&amp;" Colour CPC"</f>
        <v>Zone 3 - Broome within 20km Colour CPC</v>
      </c>
      <c r="C15" s="95">
        <f>IF(C$8="Not Offered","",VLOOKUP(C$8,Data!$G:$AL,6+2*(MATCH($B$3,Locations,0)),FALSE))</f>
        <v>9.9000000000000005E-2</v>
      </c>
      <c r="D15" s="68">
        <f>IF(D$8="Not Offered","",VLOOKUP(D$8,Data!$G:$AL,6+2*(MATCH($B$3,Locations,0)),FALSE))</f>
        <v>9.2971999999999999E-2</v>
      </c>
      <c r="E15" s="95">
        <f>IF(E$8="Not Offered","",VLOOKUP(E$8,Data!$G:$AL,6+2*(MATCH($B$3,Locations,0)),FALSE))</f>
        <v>8.7999999999999995E-2</v>
      </c>
      <c r="F15" s="68">
        <f>IF(F$8="Not Offered","",VLOOKUP(F$8,Data!$G:$AL,6+2*(MATCH($B$3,Locations,0)),FALSE))</f>
        <v>8.7999999999999995E-2</v>
      </c>
      <c r="G15" s="95">
        <f>IF(G$8="Not Offered","",VLOOKUP(G$8,Data!$G:$AL,6+2*(MATCH($B$3,Locations,0)),FALSE))</f>
        <v>0.121</v>
      </c>
      <c r="H15" s="68">
        <f>IF(H$8="Not Offered","",VLOOKUP(H$8,Data!$G:$AL,6+2*(MATCH($B$3,Locations,0)),FALSE))</f>
        <v>0.11</v>
      </c>
      <c r="I15" s="95">
        <f>IF(I$8="Not Offered","",VLOOKUP(I$8,Data!$G:$AL,6+2*(MATCH($B$3,Locations,0)),FALSE))</f>
        <v>0.15400000000000003</v>
      </c>
      <c r="J15" s="68">
        <f>IF(J$8="Not Offered","",VLOOKUP(J$8,Data!$G:$AL,6+2*(MATCH($B$3,Locations,0)),FALSE))</f>
        <v>0.15400000000000003</v>
      </c>
    </row>
    <row r="16" spans="1:18" ht="27" customHeight="1" x14ac:dyDescent="0.2">
      <c r="A16" s="397"/>
      <c r="B16" s="66" t="str">
        <f>$B$3&amp;" Surcharge &amp; Installation"</f>
        <v>Zone 3 - Broome within 20km Surcharge &amp; Installation</v>
      </c>
      <c r="C16" s="228">
        <f>IF(C$8="Not Offered","",IF($B$3="Zone 1 (Perth Metro)",0,VLOOKUP(C$8,Data!$G:$BK,44+(MATCH($B$3,Locations,0)),FALSE)))</f>
        <v>220</v>
      </c>
      <c r="D16" s="229">
        <f>IF(D$8="Not Offered","",IF($B$3="Zone 1 (Perth Metro)",0,VLOOKUP(D$8,Data!$G:$BK,44+(MATCH($B$3,Locations,0)),FALSE)))</f>
        <v>385</v>
      </c>
      <c r="E16" s="228">
        <f>IF(E$8="Not Offered","",IF($B$3="Zone 1 (Perth Metro)",0,VLOOKUP(E$8,Data!$G:$BK,44+(MATCH($B$3,Locations,0)),FALSE)))</f>
        <v>297</v>
      </c>
      <c r="F16" s="229">
        <f>IF(F$8="Not Offered","",IF($B$3="Zone 1 (Perth Metro)",0,VLOOKUP(F$8,Data!$G:$BK,44+(MATCH($B$3,Locations,0)),FALSE)))</f>
        <v>374</v>
      </c>
      <c r="G16" s="228">
        <f>IF(G$8="Not Offered","",IF($B$3="Zone 1 (Perth Metro)",0,VLOOKUP(G$8,Data!$G:$BK,44+(MATCH($B$3,Locations,0)),FALSE)))</f>
        <v>495</v>
      </c>
      <c r="H16" s="229">
        <f>IF(H$8="Not Offered","",IF($B$3="Zone 1 (Perth Metro)",0,VLOOKUP(H$8,Data!$G:$BK,44+(MATCH($B$3,Locations,0)),FALSE)))</f>
        <v>770</v>
      </c>
      <c r="I16" s="228">
        <f>IF(I$8="Not Offered","",IF($B$3="Zone 1 (Perth Metro)",0,VLOOKUP(I$8,Data!$G:$BK,44+(MATCH($B$3,Locations,0)),FALSE)))</f>
        <v>1025.97</v>
      </c>
      <c r="J16" s="229">
        <f>IF(J$8="Not Offered","",IF($B$3="Zone 1 (Perth Metro)",0,VLOOKUP(J$8,Data!$G:$BK,44+(MATCH($B$3,Locations,0)),FALSE)))</f>
        <v>1071.0700000000002</v>
      </c>
    </row>
    <row r="17" spans="1:18" ht="25.5" x14ac:dyDescent="0.2">
      <c r="A17" s="65" t="s">
        <v>70</v>
      </c>
      <c r="B17" s="66" t="s">
        <v>71</v>
      </c>
      <c r="C17" s="14" t="str">
        <f>IF(C9="Not Offered","",IF(C11&gt;=$D$3*5,"Y","N"))</f>
        <v>N</v>
      </c>
      <c r="D17" s="4" t="str">
        <f t="shared" ref="D17:J17" si="0">IF(D9="Not Offered","",IF(D11&gt;=$D$3*5,"Y","N"))</f>
        <v>Y</v>
      </c>
      <c r="E17" s="14" t="str">
        <f t="shared" si="0"/>
        <v>Y</v>
      </c>
      <c r="F17" s="4" t="str">
        <f t="shared" si="0"/>
        <v>Y</v>
      </c>
      <c r="G17" s="14" t="str">
        <f t="shared" si="0"/>
        <v>Y</v>
      </c>
      <c r="H17" s="4" t="str">
        <f t="shared" si="0"/>
        <v>Y</v>
      </c>
      <c r="I17" s="14" t="str">
        <f t="shared" si="0"/>
        <v>Y</v>
      </c>
      <c r="J17" s="4" t="str">
        <f t="shared" si="0"/>
        <v>Y</v>
      </c>
    </row>
    <row r="18" spans="1:18" ht="28.5" customHeight="1" x14ac:dyDescent="0.2">
      <c r="A18" s="393" t="s">
        <v>66</v>
      </c>
      <c r="B18" s="66" t="s">
        <v>68</v>
      </c>
      <c r="C18" s="96">
        <f>IF(C9="Not Offered","",IF(C14="N/A","",IF(C17="Y",C13,((ROUNDUP(($D$3*5)/C11,0))*C13))+C16+(C14*(1-$F$3)*$D$3*5)+(C15*$F$3*$D$3*5)))</f>
        <v>20784.5</v>
      </c>
      <c r="D18" s="12">
        <f t="shared" ref="D18:J18" si="1">IF(D9="Not Offered","",IF(D14="N/A","",IF(D17="Y",D13,((ROUNDUP(($D$3*5)/D11,0))*D13))+D16+(D14*(1-$F$3)*$D$3*5)+(D15*$F$3*$D$3*5)))</f>
        <v>16517.599999999999</v>
      </c>
      <c r="E18" s="96">
        <f t="shared" si="1"/>
        <v>16289.432500000001</v>
      </c>
      <c r="F18" s="12">
        <f t="shared" si="1"/>
        <v>17143.252500000002</v>
      </c>
      <c r="G18" s="96">
        <f t="shared" si="1"/>
        <v>20219.099999999999</v>
      </c>
      <c r="H18" s="12">
        <f t="shared" si="1"/>
        <v>19699.900000000001</v>
      </c>
      <c r="I18" s="96">
        <f t="shared" si="1"/>
        <v>26230.446000000004</v>
      </c>
      <c r="J18" s="12">
        <f t="shared" si="1"/>
        <v>26762.626000000004</v>
      </c>
    </row>
    <row r="19" spans="1:18" ht="26.25" customHeight="1" x14ac:dyDescent="0.2">
      <c r="A19" s="340"/>
      <c r="B19" s="66" t="s">
        <v>67</v>
      </c>
      <c r="C19" s="13">
        <f>IF(C18="","",IF(ISNA(RANK(C18,$C18:$J18)),"",RANK(C18,$C18:$J18,1)))</f>
        <v>6</v>
      </c>
      <c r="D19" s="11">
        <f>IF(D18="","",IF(ISNA(RANK(D18,$C18:$J18)),"",RANK(D18,$C18:$J18,1)))</f>
        <v>2</v>
      </c>
      <c r="E19" s="13">
        <f t="shared" ref="E19:J19" si="2">IF(E18="","",IF(ISNA(RANK(E18,$C18:$J18)),"",RANK(E18,$C18:$J18,1)))</f>
        <v>1</v>
      </c>
      <c r="F19" s="11">
        <f t="shared" si="2"/>
        <v>3</v>
      </c>
      <c r="G19" s="13">
        <f t="shared" si="2"/>
        <v>5</v>
      </c>
      <c r="H19" s="11">
        <f t="shared" si="2"/>
        <v>4</v>
      </c>
      <c r="I19" s="13">
        <f t="shared" si="2"/>
        <v>7</v>
      </c>
      <c r="J19" s="11">
        <f t="shared" si="2"/>
        <v>8</v>
      </c>
    </row>
    <row r="20" spans="1:18" ht="9.9499999999999993" customHeight="1" x14ac:dyDescent="0.2">
      <c r="E20" s="1"/>
    </row>
    <row r="21" spans="1:18" ht="20.100000000000001" customHeight="1" x14ac:dyDescent="0.2">
      <c r="A21" s="376" t="s">
        <v>1720</v>
      </c>
      <c r="B21" s="377"/>
      <c r="C21" s="377"/>
      <c r="D21" s="377"/>
      <c r="E21" s="377"/>
      <c r="F21" s="377"/>
      <c r="G21" s="377"/>
      <c r="H21" s="377"/>
      <c r="I21" s="377"/>
      <c r="J21" s="377"/>
      <c r="K21" s="377"/>
      <c r="L21" s="377"/>
      <c r="M21" s="377"/>
      <c r="N21" s="377"/>
      <c r="O21" s="377"/>
      <c r="P21" s="377"/>
      <c r="Q21" s="377"/>
      <c r="R21" s="378"/>
    </row>
    <row r="22" spans="1:18" ht="24.95" customHeight="1" x14ac:dyDescent="0.2">
      <c r="A22" s="400" t="s">
        <v>925</v>
      </c>
      <c r="B22" s="400" t="s">
        <v>65</v>
      </c>
      <c r="C22" s="412" t="s">
        <v>2013</v>
      </c>
      <c r="D22" s="413"/>
      <c r="E22" s="413"/>
      <c r="F22" s="413"/>
      <c r="G22" s="412" t="s">
        <v>10</v>
      </c>
      <c r="H22" s="413"/>
      <c r="I22" s="413"/>
      <c r="J22" s="413"/>
      <c r="K22" s="373" t="s">
        <v>7</v>
      </c>
      <c r="L22" s="374"/>
      <c r="M22" s="374"/>
      <c r="N22" s="375"/>
      <c r="O22" s="373" t="s">
        <v>8</v>
      </c>
      <c r="P22" s="374"/>
      <c r="Q22" s="374"/>
      <c r="R22" s="375"/>
    </row>
    <row r="23" spans="1:18" ht="24.95" customHeight="1" x14ac:dyDescent="0.2">
      <c r="A23" s="399"/>
      <c r="B23" s="399"/>
      <c r="C23" s="63" t="s">
        <v>73</v>
      </c>
      <c r="D23" s="63" t="s">
        <v>74</v>
      </c>
      <c r="E23" s="63" t="s">
        <v>75</v>
      </c>
      <c r="F23" s="63" t="s">
        <v>76</v>
      </c>
      <c r="G23" s="63" t="s">
        <v>73</v>
      </c>
      <c r="H23" s="63" t="s">
        <v>74</v>
      </c>
      <c r="I23" s="63" t="s">
        <v>75</v>
      </c>
      <c r="J23" s="63" t="s">
        <v>76</v>
      </c>
      <c r="K23" s="63" t="s">
        <v>73</v>
      </c>
      <c r="L23" s="63" t="s">
        <v>74</v>
      </c>
      <c r="M23" s="63" t="s">
        <v>75</v>
      </c>
      <c r="N23" s="63" t="s">
        <v>76</v>
      </c>
      <c r="O23" s="63" t="s">
        <v>73</v>
      </c>
      <c r="P23" s="63" t="s">
        <v>74</v>
      </c>
      <c r="Q23" s="63" t="s">
        <v>75</v>
      </c>
      <c r="R23" s="63" t="s">
        <v>76</v>
      </c>
    </row>
    <row r="24" spans="1:18" ht="24.95" customHeight="1" x14ac:dyDescent="0.2">
      <c r="A24" s="394" t="s">
        <v>37</v>
      </c>
      <c r="B24" s="64" t="s">
        <v>29</v>
      </c>
      <c r="C24" s="13" t="str">
        <f>IF(C25="Not Offered","Not Offered",VLOOKUP(C25,Data!$H:$CV,93,FALSE))</f>
        <v>AP7C3321</v>
      </c>
      <c r="D24" s="11" t="str">
        <f>IF(D25="Not Offered","Not Offered",VLOOKUP(D25,Data!$H:$CV,93,FALSE))</f>
        <v>AC3070-4</v>
      </c>
      <c r="E24" s="13" t="str">
        <f>IF(E25="Not Offered","Not Offered",VLOOKUP(E25,Data!$H:$CV,93,FALSE))</f>
        <v>AC3570-4</v>
      </c>
      <c r="F24" s="11" t="str">
        <f>IF(F25="Not Offered","Not Offered",VLOOKUP(F25,Data!$H:$CV,93,FALSE))</f>
        <v>AC3070-4F</v>
      </c>
      <c r="G24" s="13" t="str">
        <f>IF(G25="Not Offered","Not Offered",VLOOKUP(G25,Data!$H:$CV,93,FALSE))</f>
        <v>C300i-WA</v>
      </c>
      <c r="H24" s="11" t="str">
        <f>IF(H25="Not Offered","Not Offered",VLOOKUP(H25,Data!$H:$CV,93,FALSE))</f>
        <v>C360i-WA</v>
      </c>
      <c r="I24" s="13" t="str">
        <f>IF(I25="Not Offered","Not Offered",VLOOKUP(I25,Data!$H:$CV,93,FALSE))</f>
        <v>C3321i-WA</v>
      </c>
      <c r="J24" s="11" t="str">
        <f>IF(J25="Not Offered","Not Offered",VLOOKUP(J25,Data!$H:$CV,93,FALSE))</f>
        <v>C3351i-WA</v>
      </c>
      <c r="K24" s="13" t="str">
        <f>IF(K25="Not Offered","Not Offered",VLOOKUP(K25,Data!$H:$CV,93,FALSE))</f>
        <v>1102YK3AU0</v>
      </c>
      <c r="L24" s="11" t="str">
        <f>IF(L25="Not Offered","Not Offered",VLOOKUP(L25,Data!$H:$CV,93,FALSE))</f>
        <v>1102R53AS0</v>
      </c>
      <c r="M24" s="13" t="str">
        <f>IF(M25="Not Offered","Not Offered",VLOOKUP(M25,Data!$H:$CV,93,FALSE))</f>
        <v>1102P33AS0</v>
      </c>
      <c r="N24" s="11" t="str">
        <f>IF(N25="Not Offered","Not Offered",VLOOKUP(N25,Data!$H:$CV,93,FALSE))</f>
        <v>1102YP3ASX</v>
      </c>
      <c r="O24" s="13">
        <f>IF(O25="Not Offered","Not Offered",VLOOKUP(O25,Data!$H:$CV,93,FALSE))</f>
        <v>418298</v>
      </c>
      <c r="P24" s="11">
        <f>IF(P25="Not Offered","Not Offered",VLOOKUP(P25,Data!$H:$CV,93,FALSE))</f>
        <v>418306</v>
      </c>
      <c r="Q24" s="13" t="str">
        <f>IF(Q25="Not Offered","Not Offered",VLOOKUP(Q25,Data!$H:$CV,93,FALSE))</f>
        <v>418573A</v>
      </c>
      <c r="R24" s="11" t="str">
        <f>IF(R25="Not Offered","Not Offered",VLOOKUP(R25,Data!$H:$CV,93,FALSE))</f>
        <v>Not Offered</v>
      </c>
    </row>
    <row r="25" spans="1:18" ht="24.95" customHeight="1" x14ac:dyDescent="0.2">
      <c r="A25" s="395"/>
      <c r="B25" s="66" t="s">
        <v>72</v>
      </c>
      <c r="C25" s="13" t="str">
        <f>Data!$H4</f>
        <v>ApeosPort-VII C3321</v>
      </c>
      <c r="D25" s="11" t="str">
        <f>Data!$H5</f>
        <v>Apeos C3070</v>
      </c>
      <c r="E25" s="13" t="str">
        <f>Data!$H6</f>
        <v>Apeos C3570</v>
      </c>
      <c r="F25" s="11" t="str">
        <f>Data!$H7</f>
        <v>Apeos C3070-4F</v>
      </c>
      <c r="G25" s="13" t="str">
        <f>Data!$H18</f>
        <v>bizhub C300i</v>
      </c>
      <c r="H25" s="11" t="str">
        <f>Data!$H19</f>
        <v>bizhub C360i</v>
      </c>
      <c r="I25" s="13" t="str">
        <f>Data!$H20</f>
        <v>bizhub C3321i</v>
      </c>
      <c r="J25" s="11" t="str">
        <f>Data!$H21</f>
        <v>bizhub C3351i</v>
      </c>
      <c r="K25" s="13" t="str">
        <f>Data!$H32</f>
        <v>ECOSYS MA3500cix</v>
      </c>
      <c r="L25" s="59" t="str">
        <f>Data!$H33</f>
        <v>TASKalfa 358ci</v>
      </c>
      <c r="M25" s="13" t="str">
        <f>Data!$H34</f>
        <v>ECOSYS M8130cidn</v>
      </c>
      <c r="N25" s="11" t="str">
        <f>Data!$H35</f>
        <v>TASKalfa 3554ci</v>
      </c>
      <c r="O25" s="13" t="str">
        <f>Data!$H46</f>
        <v>IM C3010</v>
      </c>
      <c r="P25" s="11" t="str">
        <f>Data!$H47</f>
        <v>IM C3510</v>
      </c>
      <c r="Q25" s="13" t="str">
        <f>Data!$H48</f>
        <v>IM C300F</v>
      </c>
      <c r="R25" s="11" t="str">
        <f>Data!$H49</f>
        <v>Not Offered</v>
      </c>
    </row>
    <row r="26" spans="1:18" ht="24.95" customHeight="1" x14ac:dyDescent="0.2">
      <c r="A26" s="395"/>
      <c r="B26" s="66" t="s">
        <v>33</v>
      </c>
      <c r="C26" s="13">
        <f>IF(C$24="Not Offered","",VLOOKUP(C$24,Data!$G:$BB,3,FALSE))</f>
        <v>35</v>
      </c>
      <c r="D26" s="11">
        <f>IF(D$24="Not Offered","",VLOOKUP(D$24,Data!$G:$BB,3,FALSE))</f>
        <v>30</v>
      </c>
      <c r="E26" s="13">
        <f>IF(E$24="Not Offered","",VLOOKUP(E$24,Data!$G:$BB,3,FALSE))</f>
        <v>35</v>
      </c>
      <c r="F26" s="11">
        <f>IF(F$24="Not Offered","",VLOOKUP(F$24,Data!$G:$BB,3,FALSE))</f>
        <v>30</v>
      </c>
      <c r="G26" s="13">
        <f>IF(G$24="Not Offered","",VLOOKUP(G$24,Data!$G:$BB,3,FALSE))</f>
        <v>30</v>
      </c>
      <c r="H26" s="11">
        <f>IF(H$24="Not Offered","",VLOOKUP(H$24,Data!$G:$BB,3,FALSE))</f>
        <v>36</v>
      </c>
      <c r="I26" s="13">
        <f>IF(I$24="Not Offered","",VLOOKUP(I$24,Data!$G:$BB,3,FALSE))</f>
        <v>33</v>
      </c>
      <c r="J26" s="11">
        <f>IF(J$24="Not Offered","",VLOOKUP(J$24,Data!$G:$BB,3,FALSE))</f>
        <v>33</v>
      </c>
      <c r="K26" s="13">
        <f>IF(K$24="Not Offered","",VLOOKUP(K$24,Data!$G:$BB,3,FALSE))</f>
        <v>30</v>
      </c>
      <c r="L26" s="11">
        <f>IF(L$24="Not Offered","",VLOOKUP(L$24,Data!$G:$BB,3,FALSE))</f>
        <v>35</v>
      </c>
      <c r="M26" s="13">
        <f>IF(M$24="Not Offered","",VLOOKUP(M$24,Data!$G:$BB,3,FALSE))</f>
        <v>30</v>
      </c>
      <c r="N26" s="11">
        <f>IF(N$24="Not Offered","",VLOOKUP(N$24,Data!$G:$BB,3,FALSE))</f>
        <v>35</v>
      </c>
      <c r="O26" s="13">
        <f>IF(O$24="Not Offered","",VLOOKUP(O$24,Data!$G:$BB,3,FALSE))</f>
        <v>30</v>
      </c>
      <c r="P26" s="11">
        <f>IF(P$24="Not Offered","",VLOOKUP(P$24,Data!$G:$BB,3,FALSE))</f>
        <v>35</v>
      </c>
      <c r="Q26" s="13">
        <f>IF(Q$24="Not Offered","",VLOOKUP(Q$24,Data!$G:$BB,3,FALSE))</f>
        <v>30</v>
      </c>
      <c r="R26" s="11" t="str">
        <f>IF(R$24="Not Offered","",VLOOKUP(R$24,Data!$G:$BB,3,FALSE))</f>
        <v/>
      </c>
    </row>
    <row r="27" spans="1:18" ht="24.95" customHeight="1" x14ac:dyDescent="0.2">
      <c r="A27" s="395"/>
      <c r="B27" s="66" t="s">
        <v>30</v>
      </c>
      <c r="C27" s="60">
        <f>IF(C$24="Not Offered","",VLOOKUP(C$24,Data!$G:$BB,4,FALSE))</f>
        <v>300000</v>
      </c>
      <c r="D27" s="59">
        <f>IF(D$24="Not Offered","",VLOOKUP(D$24,Data!$G:$BB,4,FALSE))</f>
        <v>1500000</v>
      </c>
      <c r="E27" s="60">
        <f>IF(E$24="Not Offered","",VLOOKUP(E$24,Data!$G:$BB,4,FALSE))</f>
        <v>1800000</v>
      </c>
      <c r="F27" s="59">
        <f>IF(F$24="Not Offered","",VLOOKUP(F$24,Data!$G:$BB,4,FALSE))</f>
        <v>1500000</v>
      </c>
      <c r="G27" s="60">
        <f>IF(G$24="Not Offered","",VLOOKUP(G$24,Data!$G:$BB,4,FALSE))</f>
        <v>1500000</v>
      </c>
      <c r="H27" s="59">
        <f>IF(H$24="Not Offered","",VLOOKUP(H$24,Data!$G:$BB,4,FALSE))</f>
        <v>2000000</v>
      </c>
      <c r="I27" s="60">
        <f>IF(I$24="Not Offered","",VLOOKUP(I$24,Data!$G:$BB,4,FALSE))</f>
        <v>400000</v>
      </c>
      <c r="J27" s="59">
        <f>IF(J$24="Not Offered","",VLOOKUP(J$24,Data!$G:$BB,4,FALSE))</f>
        <v>400000</v>
      </c>
      <c r="K27" s="60">
        <f>IF(K$24="Not Offered","",VLOOKUP(K$24,Data!$G:$BB,4,FALSE))</f>
        <v>600000</v>
      </c>
      <c r="L27" s="59">
        <f>IF(L$24="Not Offered","",VLOOKUP(L$24,Data!$G:$BB,4,FALSE))</f>
        <v>600000</v>
      </c>
      <c r="M27" s="60">
        <f>IF(M$24="Not Offered","",VLOOKUP(M$24,Data!$G:$BB,4,FALSE))</f>
        <v>600000</v>
      </c>
      <c r="N27" s="59">
        <f>IF(N$24="Not Offered","",VLOOKUP(N$24,Data!$G:$BB,4,FALSE))</f>
        <v>1500000</v>
      </c>
      <c r="O27" s="60">
        <f>IF(O$24="Not Offered","",VLOOKUP(O$24,Data!$G:$BB,4,FALSE))</f>
        <v>1200000</v>
      </c>
      <c r="P27" s="59">
        <f>IF(P$24="Not Offered","",VLOOKUP(P$24,Data!$G:$BB,4,FALSE))</f>
        <v>1200000</v>
      </c>
      <c r="Q27" s="60">
        <f>IF(Q$24="Not Offered","",VLOOKUP(Q$24,Data!$G:$BB,4,FALSE))</f>
        <v>300000</v>
      </c>
      <c r="R27" s="59" t="str">
        <f>IF(R$24="Not Offered","",VLOOKUP(R$24,Data!$G:$BB,4,FALSE))</f>
        <v/>
      </c>
    </row>
    <row r="28" spans="1:18" ht="24.95" customHeight="1" x14ac:dyDescent="0.2">
      <c r="A28" s="340"/>
      <c r="B28" s="66" t="s">
        <v>31</v>
      </c>
      <c r="C28" s="60">
        <f>IF(C$24="Not Offered","",VLOOKUP(C$24,Data!$G:$BB,5,FALSE))</f>
        <v>153000</v>
      </c>
      <c r="D28" s="59">
        <f>IF(D$24="Not Offered","",VLOOKUP(D$24,Data!$G:$BB,5,FALSE))</f>
        <v>129000</v>
      </c>
      <c r="E28" s="60">
        <f>IF(E$24="Not Offered","",VLOOKUP(E$24,Data!$G:$BB,5,FALSE))</f>
        <v>153000</v>
      </c>
      <c r="F28" s="59">
        <f>IF(F$24="Not Offered","",VLOOKUP(F$24,Data!$G:$BB,5,FALSE))</f>
        <v>129000</v>
      </c>
      <c r="G28" s="60">
        <f>IF(G$24="Not Offered","",VLOOKUP(G$24,Data!$G:$BB,5,FALSE))</f>
        <v>25000</v>
      </c>
      <c r="H28" s="59">
        <f>IF(H$24="Not Offered","",VLOOKUP(H$24,Data!$G:$BB,5,FALSE))</f>
        <v>33333</v>
      </c>
      <c r="I28" s="60">
        <f>IF(I$24="Not Offered","",VLOOKUP(I$24,Data!$G:$BB,5,FALSE))</f>
        <v>6667</v>
      </c>
      <c r="J28" s="59">
        <f>IF(J$24="Not Offered","",VLOOKUP(J$24,Data!$G:$BB,5,FALSE))</f>
        <v>6667</v>
      </c>
      <c r="K28" s="60">
        <f>IF(K$24="Not Offered","",VLOOKUP(K$24,Data!$G:$BB,5,FALSE))</f>
        <v>10000</v>
      </c>
      <c r="L28" s="59">
        <f>IF(L$24="Not Offered","",VLOOKUP(L$24,Data!$G:$BB,5,FALSE))</f>
        <v>12000</v>
      </c>
      <c r="M28" s="60">
        <f>IF(M$24="Not Offered","",VLOOKUP(M$24,Data!$G:$BB,5,FALSE))</f>
        <v>20000</v>
      </c>
      <c r="N28" s="59">
        <f>IF(N$24="Not Offered","",VLOOKUP(N$24,Data!$G:$BB,5,FALSE))</f>
        <v>25000</v>
      </c>
      <c r="O28" s="60">
        <f>IF(O$24="Not Offered","",VLOOKUP(O$24,Data!$G:$BB,5,FALSE))</f>
        <v>20000</v>
      </c>
      <c r="P28" s="59">
        <f>IF(P$24="Not Offered","",VLOOKUP(P$24,Data!$G:$BB,5,FALSE))</f>
        <v>20000</v>
      </c>
      <c r="Q28" s="60">
        <f>IF(Q$24="Not Offered","",VLOOKUP(Q$24,Data!$G:$BB,5,FALSE))</f>
        <v>7500</v>
      </c>
      <c r="R28" s="59" t="str">
        <f>IF(R$24="Not Offered","",VLOOKUP(R$24,Data!$G:$BB,5,FALSE))</f>
        <v/>
      </c>
    </row>
    <row r="29" spans="1:18" ht="24.95" customHeight="1" x14ac:dyDescent="0.2">
      <c r="A29" s="393" t="s">
        <v>63</v>
      </c>
      <c r="B29" s="66" t="s">
        <v>64</v>
      </c>
      <c r="C29" s="94">
        <f>IF(C$24="Not Offered","",VLOOKUP(C$24,Data!$G:$BB,6,FALSE))</f>
        <v>2541</v>
      </c>
      <c r="D29" s="67">
        <f>IF(D$24="Not Offered","",VLOOKUP(D$24,Data!$G:$BB,6,FALSE))</f>
        <v>3743.3</v>
      </c>
      <c r="E29" s="94">
        <f>IF(E$24="Not Offered","",VLOOKUP(E$24,Data!$G:$BB,6,FALSE))</f>
        <v>4286.7</v>
      </c>
      <c r="F29" s="67">
        <f>IF(F$24="Not Offered","",VLOOKUP(F$24,Data!$G:$BB,6,FALSE))</f>
        <v>4650.8</v>
      </c>
      <c r="G29" s="94">
        <f>IF(G$24="Not Offered","",VLOOKUP(G$24,Data!$G:$BB,6,FALSE))</f>
        <v>3781.1125000000002</v>
      </c>
      <c r="H29" s="67">
        <f>IF(H$24="Not Offered","",VLOOKUP(H$24,Data!$G:$BB,6,FALSE))</f>
        <v>4487.3125</v>
      </c>
      <c r="I29" s="94">
        <f>IF(I$24="Not Offered","",VLOOKUP(I$24,Data!$G:$BB,6,FALSE))</f>
        <v>1708.42</v>
      </c>
      <c r="J29" s="67">
        <f>IF(J$24="Not Offered","",VLOOKUP(J$24,Data!$G:$BB,6,FALSE))</f>
        <v>2177.4500000000003</v>
      </c>
      <c r="K29" s="94">
        <f>IF(K$24="Not Offered","",VLOOKUP(K$24,Data!$G:$BB,6,FALSE))</f>
        <v>825</v>
      </c>
      <c r="L29" s="67">
        <f>IF(L$24="Not Offered","",VLOOKUP(L$24,Data!$G:$BB,6,FALSE))</f>
        <v>3071.2</v>
      </c>
      <c r="M29" s="94">
        <f>IF(M$24="Not Offered","",VLOOKUP(M$24,Data!$G:$BB,6,FALSE))</f>
        <v>3135</v>
      </c>
      <c r="N29" s="67">
        <f>IF(N$24="Not Offered","",VLOOKUP(N$24,Data!$G:$BB,6,FALSE))</f>
        <v>4400</v>
      </c>
      <c r="O29" s="94">
        <f>IF(O$24="Not Offered","",VLOOKUP(O$24,Data!$G:$BB,6,FALSE))</f>
        <v>4292.24</v>
      </c>
      <c r="P29" s="67">
        <f>IF(P$24="Not Offered","",VLOOKUP(P$24,Data!$G:$BB,6,FALSE))</f>
        <v>4679.53</v>
      </c>
      <c r="Q29" s="94">
        <f>IF(Q$24="Not Offered","",VLOOKUP(Q$24,Data!$G:$BB,6,FALSE))</f>
        <v>2248.8840000000005</v>
      </c>
      <c r="R29" s="67" t="str">
        <f>IF(R$24="Not Offered","",VLOOKUP(R$24,Data!$G:$BB,6,FALSE))</f>
        <v/>
      </c>
    </row>
    <row r="30" spans="1:18" ht="24.95" customHeight="1" x14ac:dyDescent="0.2">
      <c r="A30" s="396"/>
      <c r="B30" s="66" t="str">
        <f>$B$3&amp;" BW CPC"</f>
        <v>Zone 3 - Broome within 20km BW CPC</v>
      </c>
      <c r="C30" s="95">
        <f>IF(C$24="Not Offered","",VLOOKUP(C$24,Data!$G:$AL,5+2*(MATCH($B$3,Locations,0)),FALSE))</f>
        <v>9.3500000000000007E-3</v>
      </c>
      <c r="D30" s="68">
        <f>IF(D$24="Not Offered","",VLOOKUP(D$24,Data!$G:$AL,5+2*(MATCH($B$3,Locations,0)),FALSE))</f>
        <v>9.3500000000000007E-3</v>
      </c>
      <c r="E30" s="95">
        <f>IF(E$24="Not Offered","",VLOOKUP(E$24,Data!$G:$AL,5+2*(MATCH($B$3,Locations,0)),FALSE))</f>
        <v>9.3500000000000007E-3</v>
      </c>
      <c r="F30" s="68">
        <f>IF(F$24="Not Offered","",VLOOKUP(F$24,Data!$G:$AL,5+2*(MATCH($B$3,Locations,0)),FALSE))</f>
        <v>9.3500000000000007E-3</v>
      </c>
      <c r="G30" s="95">
        <f>IF(G$24="Not Offered","",VLOOKUP(G$24,Data!$G:$AL,5+2*(MATCH($B$3,Locations,0)),FALSE))</f>
        <v>1.0999999999999999E-2</v>
      </c>
      <c r="H30" s="68">
        <f>IF(H$24="Not Offered","",VLOOKUP(H$24,Data!$G:$AL,5+2*(MATCH($B$3,Locations,0)),FALSE))</f>
        <v>1.0999999999999999E-2</v>
      </c>
      <c r="I30" s="95">
        <f>IF(I$24="Not Offered","",VLOOKUP(I$24,Data!$G:$AL,5+2*(MATCH($B$3,Locations,0)),FALSE))</f>
        <v>1.32E-2</v>
      </c>
      <c r="J30" s="68">
        <f>IF(J$24="Not Offered","",VLOOKUP(J$24,Data!$G:$AL,5+2*(MATCH($B$3,Locations,0)),FALSE))</f>
        <v>1.32E-2</v>
      </c>
      <c r="K30" s="95">
        <f>IF(K$24="Not Offered","",VLOOKUP(K$24,Data!$G:$AL,5+2*(MATCH($B$3,Locations,0)),FALSE))</f>
        <v>3.3000000000000002E-2</v>
      </c>
      <c r="L30" s="68">
        <f>IF(L$24="Not Offered","",VLOOKUP(L$24,Data!$G:$AL,5+2*(MATCH($B$3,Locations,0)),FALSE))</f>
        <v>1.0999999999999999E-2</v>
      </c>
      <c r="M30" s="95">
        <f>IF(M$24="Not Offered","",VLOOKUP(M$24,Data!$G:$AL,5+2*(MATCH($B$3,Locations,0)),FALSE))</f>
        <v>1.21E-2</v>
      </c>
      <c r="N30" s="68">
        <f>IF(N$24="Not Offered","",VLOOKUP(N$24,Data!$G:$AL,5+2*(MATCH($B$3,Locations,0)),FALSE))</f>
        <v>1.0999999999999999E-2</v>
      </c>
      <c r="O30" s="95">
        <f>IF(O$24="Not Offered","",VLOOKUP(O$24,Data!$G:$AL,5+2*(MATCH($B$3,Locations,0)),FALSE))</f>
        <v>1.7600000000000001E-2</v>
      </c>
      <c r="P30" s="68">
        <f>IF(P$24="Not Offered","",VLOOKUP(P$24,Data!$G:$AL,5+2*(MATCH($B$3,Locations,0)),FALSE))</f>
        <v>1.7600000000000001E-2</v>
      </c>
      <c r="Q30" s="95">
        <f>IF(Q$24="Not Offered","",VLOOKUP(Q$24,Data!$G:$AL,5+2*(MATCH($B$3,Locations,0)),FALSE))</f>
        <v>2.6400000000000003E-2</v>
      </c>
      <c r="R30" s="68" t="str">
        <f>IF(R$24="Not Offered","",VLOOKUP(R$24,Data!$G:$AL,5+2*(MATCH($B$3,Locations,0)),FALSE))</f>
        <v/>
      </c>
    </row>
    <row r="31" spans="1:18" ht="24.95" customHeight="1" x14ac:dyDescent="0.2">
      <c r="A31" s="396"/>
      <c r="B31" s="66" t="str">
        <f>$B$3&amp;" Colour CPC"</f>
        <v>Zone 3 - Broome within 20km Colour CPC</v>
      </c>
      <c r="C31" s="95">
        <f>IF(C$24="Not Offered","",VLOOKUP(C$24,Data!$G:$AL,6+2*(MATCH($B$3,Locations,0)),FALSE))</f>
        <v>9.2971999999999999E-2</v>
      </c>
      <c r="D31" s="68">
        <f>IF(D$24="Not Offered","",VLOOKUP(D$24,Data!$G:$AL,6+2*(MATCH($B$3,Locations,0)),FALSE))</f>
        <v>9.2971999999999999E-2</v>
      </c>
      <c r="E31" s="95">
        <f>IF(E$24="Not Offered","",VLOOKUP(E$24,Data!$G:$AL,6+2*(MATCH($B$3,Locations,0)),FALSE))</f>
        <v>9.2971999999999999E-2</v>
      </c>
      <c r="F31" s="68">
        <f>IF(F$24="Not Offered","",VLOOKUP(F$24,Data!$G:$AL,6+2*(MATCH($B$3,Locations,0)),FALSE))</f>
        <v>9.2971999999999999E-2</v>
      </c>
      <c r="G31" s="95">
        <f>IF(G$24="Not Offered","",VLOOKUP(G$24,Data!$G:$AL,6+2*(MATCH($B$3,Locations,0)),FALSE))</f>
        <v>8.7999999999999995E-2</v>
      </c>
      <c r="H31" s="68">
        <f>IF(H$24="Not Offered","",VLOOKUP(H$24,Data!$G:$AL,6+2*(MATCH($B$3,Locations,0)),FALSE))</f>
        <v>8.7999999999999995E-2</v>
      </c>
      <c r="I31" s="95">
        <f>IF(I$24="Not Offered","",VLOOKUP(I$24,Data!$G:$AL,6+2*(MATCH($B$3,Locations,0)),FALSE))</f>
        <v>0.13200000000000001</v>
      </c>
      <c r="J31" s="68">
        <f>IF(J$24="Not Offered","",VLOOKUP(J$24,Data!$G:$AL,6+2*(MATCH($B$3,Locations,0)),FALSE))</f>
        <v>0.13200000000000001</v>
      </c>
      <c r="K31" s="95">
        <f>IF(K$24="Not Offered","",VLOOKUP(K$24,Data!$G:$AL,6+2*(MATCH($B$3,Locations,0)),FALSE))</f>
        <v>0.19800000000000001</v>
      </c>
      <c r="L31" s="68">
        <f>IF(L$24="Not Offered","",VLOOKUP(L$24,Data!$G:$AL,6+2*(MATCH($B$3,Locations,0)),FALSE))</f>
        <v>0.11</v>
      </c>
      <c r="M31" s="95">
        <f>IF(M$24="Not Offered","",VLOOKUP(M$24,Data!$G:$AL,6+2*(MATCH($B$3,Locations,0)),FALSE))</f>
        <v>0.121</v>
      </c>
      <c r="N31" s="68">
        <f>IF(N$24="Not Offered","",VLOOKUP(N$24,Data!$G:$AL,6+2*(MATCH($B$3,Locations,0)),FALSE))</f>
        <v>0.11</v>
      </c>
      <c r="O31" s="95">
        <f>IF(O$24="Not Offered","",VLOOKUP(O$24,Data!$G:$AL,6+2*(MATCH($B$3,Locations,0)),FALSE))</f>
        <v>0.15400000000000003</v>
      </c>
      <c r="P31" s="68">
        <f>IF(P$24="Not Offered","",VLOOKUP(P$24,Data!$G:$AL,6+2*(MATCH($B$3,Locations,0)),FALSE))</f>
        <v>0.15400000000000003</v>
      </c>
      <c r="Q31" s="95">
        <f>IF(Q$24="Not Offered","",VLOOKUP(Q$24,Data!$G:$AL,6+2*(MATCH($B$3,Locations,0)),FALSE))</f>
        <v>0.17600000000000002</v>
      </c>
      <c r="R31" s="68" t="str">
        <f>IF(R$24="Not Offered","",VLOOKUP(R$24,Data!$G:$AL,6+2*(MATCH($B$3,Locations,0)),FALSE))</f>
        <v/>
      </c>
    </row>
    <row r="32" spans="1:18" ht="24.95" customHeight="1" x14ac:dyDescent="0.2">
      <c r="A32" s="397"/>
      <c r="B32" s="66" t="str">
        <f>$B$3&amp;" Surcharge &amp; Installation"</f>
        <v>Zone 3 - Broome within 20km Surcharge &amp; Installation</v>
      </c>
      <c r="C32" s="228">
        <f>IF(C$24="Not Offered","",IF($B$3="Zone 1 (Perth Metro)",0,VLOOKUP(C$24,Data!$G:$BK,44+(MATCH($B$3,Locations,0)),FALSE)))</f>
        <v>385</v>
      </c>
      <c r="D32" s="229">
        <f>IF(D$24="Not Offered","",IF($B$3="Zone 1 (Perth Metro)",0,VLOOKUP(D$24,Data!$G:$BK,44+(MATCH($B$3,Locations,0)),FALSE)))</f>
        <v>385</v>
      </c>
      <c r="E32" s="228">
        <f>IF(E$24="Not Offered","",IF($B$3="Zone 1 (Perth Metro)",0,VLOOKUP(E$24,Data!$G:$BK,44+(MATCH($B$3,Locations,0)),FALSE)))</f>
        <v>385</v>
      </c>
      <c r="F32" s="229">
        <f>IF(F$24="Not Offered","",IF($B$3="Zone 1 (Perth Metro)",0,VLOOKUP(F$24,Data!$G:$BK,44+(MATCH($B$3,Locations,0)),FALSE)))</f>
        <v>0</v>
      </c>
      <c r="G32" s="228">
        <f>IF(G$24="Not Offered","",IF($B$3="Zone 1 (Perth Metro)",0,VLOOKUP(G$24,Data!$G:$BK,44+(MATCH($B$3,Locations,0)),FALSE)))</f>
        <v>396</v>
      </c>
      <c r="H32" s="229">
        <f>IF(H$24="Not Offered","",IF($B$3="Zone 1 (Perth Metro)",0,VLOOKUP(H$24,Data!$G:$BK,44+(MATCH($B$3,Locations,0)),FALSE)))</f>
        <v>462</v>
      </c>
      <c r="I32" s="228">
        <f>IF(I$24="Not Offered","",IF($B$3="Zone 1 (Perth Metro)",0,VLOOKUP(I$24,Data!$G:$BK,44+(MATCH($B$3,Locations,0)),FALSE)))</f>
        <v>231</v>
      </c>
      <c r="J32" s="229">
        <f>IF(J$24="Not Offered","",IF($B$3="Zone 1 (Perth Metro)",0,VLOOKUP(J$24,Data!$G:$BK,44+(MATCH($B$3,Locations,0)),FALSE)))</f>
        <v>231</v>
      </c>
      <c r="K32" s="228">
        <f>IF(K$24="Not Offered","",IF($B$3="Zone 1 (Perth Metro)",0,VLOOKUP(K$24,Data!$G:$BK,44+(MATCH($B$3,Locations,0)),FALSE)))</f>
        <v>275</v>
      </c>
      <c r="L32" s="229">
        <f>IF(L$24="Not Offered","",IF($B$3="Zone 1 (Perth Metro)",0,VLOOKUP(L$24,Data!$G:$BK,44+(MATCH($B$3,Locations,0)),FALSE)))</f>
        <v>770</v>
      </c>
      <c r="M32" s="228">
        <f>IF(M$24="Not Offered","",IF($B$3="Zone 1 (Perth Metro)",0,VLOOKUP(M$24,Data!$G:$BK,44+(MATCH($B$3,Locations,0)),FALSE)))</f>
        <v>495</v>
      </c>
      <c r="N32" s="229">
        <f>IF(N$24="Not Offered","",IF($B$3="Zone 1 (Perth Metro)",0,VLOOKUP(N$24,Data!$G:$BK,44+(MATCH($B$3,Locations,0)),FALSE)))</f>
        <v>880</v>
      </c>
      <c r="O32" s="228">
        <f>IF(O$24="Not Offered","",IF($B$3="Zone 1 (Perth Metro)",0,VLOOKUP(O$24,Data!$G:$BK,44+(MATCH($B$3,Locations,0)),FALSE)))</f>
        <v>1128.0500000000002</v>
      </c>
      <c r="P32" s="229">
        <f>IF(P$24="Not Offered","",IF($B$3="Zone 1 (Perth Metro)",0,VLOOKUP(P$24,Data!$G:$BK,44+(MATCH($B$3,Locations,0)),FALSE)))</f>
        <v>1163.9100000000001</v>
      </c>
      <c r="Q32" s="228">
        <f>IF(Q$24="Not Offered","",IF($B$3="Zone 1 (Perth Metro)",0,VLOOKUP(Q$24,Data!$G:$BK,44+(MATCH($B$3,Locations,0)),FALSE)))</f>
        <v>978.23000000000013</v>
      </c>
      <c r="R32" s="229" t="str">
        <f>IF(R$24="Not Offered","",IF($B$3="Zone 1 (Perth Metro)",0,VLOOKUP(R$24,Data!$G:$BK,44+(MATCH($B$3,Locations,0)),FALSE)))</f>
        <v/>
      </c>
    </row>
    <row r="33" spans="1:18" ht="24.95" customHeight="1" x14ac:dyDescent="0.2">
      <c r="A33" s="65" t="s">
        <v>70</v>
      </c>
      <c r="B33" s="66" t="s">
        <v>71</v>
      </c>
      <c r="C33" s="14" t="str">
        <f>IF(C25="Not Offered","",IF(C27&gt;=$D$3*5,"Y","N"))</f>
        <v>N</v>
      </c>
      <c r="D33" s="4" t="str">
        <f t="shared" ref="D33:R33" si="3">IF(D25="Not Offered","",IF(D27&gt;=$D$3*5,"Y","N"))</f>
        <v>Y</v>
      </c>
      <c r="E33" s="14" t="str">
        <f t="shared" si="3"/>
        <v>Y</v>
      </c>
      <c r="F33" s="4" t="str">
        <f>IF(F25="Not Offered","",IF(F27&gt;=$D$3*5,"Y","N"))</f>
        <v>Y</v>
      </c>
      <c r="G33" s="14" t="str">
        <f t="shared" si="3"/>
        <v>Y</v>
      </c>
      <c r="H33" s="4" t="str">
        <f t="shared" si="3"/>
        <v>Y</v>
      </c>
      <c r="I33" s="14" t="str">
        <f t="shared" si="3"/>
        <v>N</v>
      </c>
      <c r="J33" s="4" t="str">
        <f t="shared" si="3"/>
        <v>N</v>
      </c>
      <c r="K33" s="14" t="str">
        <f t="shared" si="3"/>
        <v>Y</v>
      </c>
      <c r="L33" s="4" t="str">
        <f t="shared" si="3"/>
        <v>Y</v>
      </c>
      <c r="M33" s="14" t="str">
        <f t="shared" si="3"/>
        <v>Y</v>
      </c>
      <c r="N33" s="4" t="str">
        <f t="shared" si="3"/>
        <v>Y</v>
      </c>
      <c r="O33" s="14" t="str">
        <f t="shared" si="3"/>
        <v>Y</v>
      </c>
      <c r="P33" s="4" t="str">
        <f t="shared" si="3"/>
        <v>Y</v>
      </c>
      <c r="Q33" s="14" t="str">
        <f t="shared" si="3"/>
        <v>N</v>
      </c>
      <c r="R33" s="4" t="str">
        <f t="shared" si="3"/>
        <v/>
      </c>
    </row>
    <row r="34" spans="1:18" ht="24.95" customHeight="1" x14ac:dyDescent="0.2">
      <c r="A34" s="393" t="s">
        <v>66</v>
      </c>
      <c r="B34" s="66" t="s">
        <v>68</v>
      </c>
      <c r="C34" s="96">
        <f>IF(C25="Not Offered","",IF(C30="N/A","",IF(C33="Y",C29,((ROUNDUP(($D$3*5)/C27,0))*C29))+C32+(C30*(1-$F$3)*$D$3*5)+(C31*$F$3*$D$3*5)))</f>
        <v>18504.2</v>
      </c>
      <c r="D34" s="12">
        <f t="shared" ref="D34:R34" si="4">IF(D25="Not Offered","",IF(D30="N/A","",IF(D33="Y",D29,((ROUNDUP(($D$3*5)/D27,0))*D29))+D32+(D30*(1-$F$3)*$D$3*5)+(D31*$F$3*$D$3*5)))</f>
        <v>17165.5</v>
      </c>
      <c r="E34" s="96">
        <f t="shared" si="4"/>
        <v>17708.900000000001</v>
      </c>
      <c r="F34" s="12">
        <f t="shared" si="4"/>
        <v>17688</v>
      </c>
      <c r="G34" s="96">
        <f t="shared" si="4"/>
        <v>17377.112499999999</v>
      </c>
      <c r="H34" s="12">
        <f t="shared" si="4"/>
        <v>18149.3125</v>
      </c>
      <c r="I34" s="96">
        <f t="shared" si="4"/>
        <v>22127.840000000004</v>
      </c>
      <c r="J34" s="12">
        <f t="shared" si="4"/>
        <v>23065.9</v>
      </c>
      <c r="K34" s="96">
        <f t="shared" si="4"/>
        <v>34100.000000000007</v>
      </c>
      <c r="L34" s="12">
        <f t="shared" si="4"/>
        <v>19241.2</v>
      </c>
      <c r="M34" s="96">
        <f t="shared" si="4"/>
        <v>20570</v>
      </c>
      <c r="N34" s="12">
        <f t="shared" si="4"/>
        <v>20680</v>
      </c>
      <c r="O34" s="96">
        <f t="shared" si="4"/>
        <v>27860.290000000005</v>
      </c>
      <c r="P34" s="12">
        <f t="shared" si="4"/>
        <v>28283.440000000002</v>
      </c>
      <c r="Q34" s="96">
        <f t="shared" si="4"/>
        <v>33635.998000000007</v>
      </c>
      <c r="R34" s="12" t="str">
        <f t="shared" si="4"/>
        <v/>
      </c>
    </row>
    <row r="35" spans="1:18" ht="24.95" customHeight="1" x14ac:dyDescent="0.2">
      <c r="A35" s="340"/>
      <c r="B35" s="66" t="s">
        <v>67</v>
      </c>
      <c r="C35" s="13">
        <f t="shared" ref="C35:R35" si="5">IF(C34="","",IF(ISNA(RANK(C34,$A34:$R34)),"",RANK(C34,$A34:$R34,1)))</f>
        <v>6</v>
      </c>
      <c r="D35" s="11">
        <f t="shared" si="5"/>
        <v>1</v>
      </c>
      <c r="E35" s="13">
        <f t="shared" si="5"/>
        <v>4</v>
      </c>
      <c r="F35" s="11">
        <f t="shared" si="5"/>
        <v>3</v>
      </c>
      <c r="G35" s="13">
        <f t="shared" si="5"/>
        <v>2</v>
      </c>
      <c r="H35" s="11">
        <f t="shared" si="5"/>
        <v>5</v>
      </c>
      <c r="I35" s="13">
        <f t="shared" si="5"/>
        <v>10</v>
      </c>
      <c r="J35" s="11">
        <f t="shared" si="5"/>
        <v>11</v>
      </c>
      <c r="K35" s="13">
        <f t="shared" si="5"/>
        <v>15</v>
      </c>
      <c r="L35" s="11">
        <f t="shared" si="5"/>
        <v>7</v>
      </c>
      <c r="M35" s="13">
        <f t="shared" si="5"/>
        <v>8</v>
      </c>
      <c r="N35" s="11">
        <f t="shared" si="5"/>
        <v>9</v>
      </c>
      <c r="O35" s="13">
        <f t="shared" si="5"/>
        <v>12</v>
      </c>
      <c r="P35" s="11">
        <f t="shared" si="5"/>
        <v>13</v>
      </c>
      <c r="Q35" s="13">
        <f t="shared" si="5"/>
        <v>14</v>
      </c>
      <c r="R35" s="11" t="str">
        <f t="shared" si="5"/>
        <v/>
      </c>
    </row>
    <row r="36" spans="1:18" ht="15" customHeight="1" x14ac:dyDescent="0.2">
      <c r="E36" s="1"/>
    </row>
    <row r="37" spans="1:18" ht="24.95" customHeight="1" x14ac:dyDescent="0.2">
      <c r="A37" s="376" t="s">
        <v>1721</v>
      </c>
      <c r="B37" s="377"/>
      <c r="C37" s="377"/>
      <c r="D37" s="377"/>
      <c r="E37" s="377"/>
      <c r="F37" s="377"/>
      <c r="G37" s="377"/>
      <c r="H37" s="377"/>
      <c r="I37" s="377"/>
      <c r="J37" s="377"/>
      <c r="K37" s="377"/>
      <c r="L37" s="377"/>
      <c r="M37" s="377"/>
      <c r="N37" s="377"/>
      <c r="O37" s="377"/>
      <c r="P37" s="377"/>
      <c r="Q37" s="377"/>
      <c r="R37" s="378"/>
    </row>
    <row r="38" spans="1:18" ht="24.95" customHeight="1" x14ac:dyDescent="0.2">
      <c r="A38" s="414" t="s">
        <v>4</v>
      </c>
      <c r="B38" s="414" t="s">
        <v>65</v>
      </c>
      <c r="C38" s="412" t="s">
        <v>2013</v>
      </c>
      <c r="D38" s="413"/>
      <c r="E38" s="413"/>
      <c r="F38" s="413"/>
      <c r="G38" s="373" t="s">
        <v>10</v>
      </c>
      <c r="H38" s="405"/>
      <c r="I38" s="405"/>
      <c r="J38" s="406"/>
      <c r="K38" s="407" t="s">
        <v>7</v>
      </c>
      <c r="L38" s="408"/>
      <c r="M38" s="408"/>
      <c r="N38" s="409"/>
      <c r="O38" s="407" t="s">
        <v>8</v>
      </c>
      <c r="P38" s="408"/>
      <c r="Q38" s="408"/>
      <c r="R38" s="409"/>
    </row>
    <row r="39" spans="1:18" ht="24.95" customHeight="1" x14ac:dyDescent="0.2">
      <c r="A39" s="415"/>
      <c r="B39" s="415"/>
      <c r="C39" s="70" t="s">
        <v>404</v>
      </c>
      <c r="D39" s="70" t="s">
        <v>405</v>
      </c>
      <c r="E39" s="70" t="s">
        <v>406</v>
      </c>
      <c r="F39" s="70" t="s">
        <v>407</v>
      </c>
      <c r="G39" s="70" t="s">
        <v>404</v>
      </c>
      <c r="H39" s="70" t="s">
        <v>405</v>
      </c>
      <c r="I39" s="70" t="s">
        <v>406</v>
      </c>
      <c r="J39" s="70" t="s">
        <v>407</v>
      </c>
      <c r="K39" s="70" t="s">
        <v>404</v>
      </c>
      <c r="L39" s="70" t="s">
        <v>405</v>
      </c>
      <c r="M39" s="70" t="s">
        <v>406</v>
      </c>
      <c r="N39" s="70" t="s">
        <v>407</v>
      </c>
      <c r="O39" s="70" t="s">
        <v>404</v>
      </c>
      <c r="P39" s="70" t="s">
        <v>405</v>
      </c>
      <c r="Q39" s="70" t="s">
        <v>406</v>
      </c>
      <c r="R39" s="70" t="s">
        <v>407</v>
      </c>
    </row>
    <row r="40" spans="1:18" ht="24.95" customHeight="1" x14ac:dyDescent="0.2">
      <c r="A40" s="394" t="s">
        <v>37</v>
      </c>
      <c r="B40" s="64" t="s">
        <v>29</v>
      </c>
      <c r="C40" s="13" t="str">
        <f>IF(C41="Not Offered","Not Offered",VLOOKUP(C41,Data!$H:$CV,93,FALSE))</f>
        <v>AP7C4421</v>
      </c>
      <c r="D40" s="11" t="str">
        <f>IF(D41="Not Offered","Not Offered",VLOOKUP(D41,Data!$H:$CV,93,FALSE))</f>
        <v>Not Offered</v>
      </c>
      <c r="E40" s="13" t="str">
        <f>IF(E41="Not Offered","Not Offered",VLOOKUP(E41,Data!$H:$CV,93,FALSE))</f>
        <v>AC4570-4</v>
      </c>
      <c r="F40" s="11" t="str">
        <f>IF(F41="Not Offered","Not Offered",VLOOKUP(F41,Data!$H:$CV,93,FALSE))</f>
        <v>AC5570-4</v>
      </c>
      <c r="G40" s="13" t="str">
        <f>IF(G41="Not Offered","Not Offered",VLOOKUP(G41,Data!$H:$CV,93,FALSE))</f>
        <v>C450ib1-WA</v>
      </c>
      <c r="H40" s="11" t="str">
        <f>IF(H41="Not Offered","Not Offered",VLOOKUP(H41,Data!$H:$CV,93,FALSE))</f>
        <v>C550ib1-WA</v>
      </c>
      <c r="I40" s="13" t="str">
        <f>IF(I41="Not Offered","Not Offered",VLOOKUP(I41,Data!$H:$CV,93,FALSE))</f>
        <v>C4051i-WA</v>
      </c>
      <c r="J40" s="146" t="str">
        <f>IF(J41="Not Offered","Not Offered",VLOOKUP(J41,Data!$H:$CV,93,FALSE))</f>
        <v>Not Offered</v>
      </c>
      <c r="K40" s="13" t="str">
        <f>IF(K41="Not Offered","Not Offered",VLOOKUP(K41,Data!$H:$CV,93,FALSE))</f>
        <v>1102R63AS0</v>
      </c>
      <c r="L40" s="11" t="str">
        <f>IF(L41="Not Offered","Not Offered",VLOOKUP(L41,Data!$H:$CV,93,FALSE))</f>
        <v>1102YN3AU0</v>
      </c>
      <c r="M40" s="13" t="str">
        <f>IF(M41="Not Offered","Not Offered",VLOOKUP(M41,Data!$H:$CV,93,FALSE))</f>
        <v>822UG05054</v>
      </c>
      <c r="N40" s="11" t="str">
        <f>IF(N41="Not Offered","Not Offered",VLOOKUP(N41,Data!$H:$CV,93,FALSE))</f>
        <v>Not Offered</v>
      </c>
      <c r="O40" s="13">
        <f>IF(O41="Not Offered","Not Offered",VLOOKUP(O41,Data!$H:$CV,93,FALSE))</f>
        <v>418315</v>
      </c>
      <c r="P40" s="11">
        <f>IF(P41="Not Offered","Not Offered",VLOOKUP(P41,Data!$H:$CV,93,FALSE))</f>
        <v>418567</v>
      </c>
      <c r="Q40" s="13" t="str">
        <f>IF(Q41="Not Offered","Not Offered",VLOOKUP(Q41,Data!$H:$CV,93,FALSE))</f>
        <v>Not Offered</v>
      </c>
      <c r="R40" s="11" t="str">
        <f>IF(R41="Not Offered","Not Offered",VLOOKUP(R41,Data!$H:$CV,93,FALSE))</f>
        <v>Not Offered</v>
      </c>
    </row>
    <row r="41" spans="1:18" ht="24.95" customHeight="1" x14ac:dyDescent="0.2">
      <c r="A41" s="395"/>
      <c r="B41" s="66" t="s">
        <v>72</v>
      </c>
      <c r="C41" s="13" t="str">
        <f>Data!$H8</f>
        <v>ApeosPort-VII C4421</v>
      </c>
      <c r="D41" s="11" t="str">
        <f>Data!$H9</f>
        <v>Not Offered</v>
      </c>
      <c r="E41" s="13" t="str">
        <f>Data!$H10</f>
        <v>Apeos C4570</v>
      </c>
      <c r="F41" s="11" t="str">
        <f>Data!$H11</f>
        <v>Apeos C5570</v>
      </c>
      <c r="G41" s="13" t="str">
        <f>Data!$H22</f>
        <v>bizhub C450i</v>
      </c>
      <c r="H41" s="11" t="str">
        <f>Data!$H23</f>
        <v>bizhub C550i</v>
      </c>
      <c r="I41" s="13" t="str">
        <f>Data!$H24</f>
        <v>bizhub C4051i</v>
      </c>
      <c r="J41" s="146" t="str">
        <f>Data!$H25</f>
        <v>Not Offered</v>
      </c>
      <c r="K41" s="13" t="str">
        <f>Data!$H36</f>
        <v>TASKalfa 408ci</v>
      </c>
      <c r="L41" s="11" t="str">
        <f>Data!$H37</f>
        <v>TASKalfa 4054ci</v>
      </c>
      <c r="M41" s="13" t="str">
        <f>Data!$H38</f>
        <v>TASKalfa 5054ci</v>
      </c>
      <c r="N41" s="11" t="str">
        <f>Data!$H39</f>
        <v>Not Offered</v>
      </c>
      <c r="O41" s="13" t="str">
        <f>Data!$H50</f>
        <v>IM C4510</v>
      </c>
      <c r="P41" s="11" t="str">
        <f>Data!H51</f>
        <v>IM C400F</v>
      </c>
      <c r="Q41" s="13" t="str">
        <f>Data!$H52</f>
        <v>Not Offered</v>
      </c>
      <c r="R41" s="11" t="str">
        <f>Data!$H53</f>
        <v>Not Offered</v>
      </c>
    </row>
    <row r="42" spans="1:18" ht="24.95" customHeight="1" x14ac:dyDescent="0.2">
      <c r="A42" s="395"/>
      <c r="B42" s="66" t="s">
        <v>33</v>
      </c>
      <c r="C42" s="13">
        <f>IF(C$40="Not Offered","",VLOOKUP(C$40,Data!$G:$BB,3,FALSE))</f>
        <v>40</v>
      </c>
      <c r="D42" s="11" t="str">
        <f>IF(D$40="Not Offered","",VLOOKUP(D$40,Data!$G:$BB,3,FALSE))</f>
        <v/>
      </c>
      <c r="E42" s="13">
        <f>IF(E$40="Not Offered","",VLOOKUP(E$40,Data!$G:$BB,3,FALSE))</f>
        <v>45</v>
      </c>
      <c r="F42" s="11">
        <f>IF(F$40="Not Offered","",VLOOKUP(F$40,Data!$G:$BB,3,FALSE))</f>
        <v>55</v>
      </c>
      <c r="G42" s="13">
        <f>IF(G$40="Not Offered","",VLOOKUP(G$40,Data!$G:$BB,3,FALSE))</f>
        <v>45</v>
      </c>
      <c r="H42" s="11">
        <f>IF(H$40="Not Offered","",VLOOKUP(H$40,Data!$G:$BB,3,FALSE))</f>
        <v>55</v>
      </c>
      <c r="I42" s="13">
        <f>IF(I$40="Not Offered","",VLOOKUP(I$40,Data!$G:$BB,3,FALSE))</f>
        <v>40</v>
      </c>
      <c r="J42" s="146" t="str">
        <f>IF(J$40="Not Offered","",VLOOKUP(J$40,Data!$G:$BB,3,FALSE))</f>
        <v/>
      </c>
      <c r="K42" s="13">
        <f>IF(K$40="Not Offered","",VLOOKUP(K$40,Data!$G:$BB,3,FALSE))</f>
        <v>40</v>
      </c>
      <c r="L42" s="11">
        <f>IF(L$40="Not Offered","",VLOOKUP(L$40,Data!$G:$BB,3,FALSE))</f>
        <v>40</v>
      </c>
      <c r="M42" s="13">
        <f>IF(M$40="Not Offered","",VLOOKUP(M$40,Data!$G:$BB,3,FALSE))</f>
        <v>50</v>
      </c>
      <c r="N42" s="11" t="str">
        <f>IF(N$40="Not Offered","",VLOOKUP(N$40,Data!$G:$BB,3,FALSE))</f>
        <v/>
      </c>
      <c r="O42" s="13">
        <f>IF(O$40="Not Offered","",VLOOKUP(O$40,Data!$G:$BB,3,FALSE))</f>
        <v>45</v>
      </c>
      <c r="P42" s="11">
        <f>IF(P$40="Not Offered","",VLOOKUP(P$40,Data!$G:$BB,3,FALSE))</f>
        <v>40</v>
      </c>
      <c r="Q42" s="13" t="str">
        <f>IF(Q$40="Not Offered","",VLOOKUP(Q$40,Data!$G:$BB,3,FALSE))</f>
        <v/>
      </c>
      <c r="R42" s="11" t="str">
        <f>IF(R$40="Not Offered","",VLOOKUP(R$40,Data!$G:$BB,3,FALSE))</f>
        <v/>
      </c>
    </row>
    <row r="43" spans="1:18" ht="24.95" customHeight="1" x14ac:dyDescent="0.2">
      <c r="A43" s="395"/>
      <c r="B43" s="66" t="s">
        <v>30</v>
      </c>
      <c r="C43" s="60">
        <f>IF(C$40="Not Offered","",VLOOKUP(C$40,Data!$G:$BB,4,FALSE))</f>
        <v>300000</v>
      </c>
      <c r="D43" s="59" t="str">
        <f>IF(D$40="Not Offered","",VLOOKUP(D$40,Data!$G:$BB,4,FALSE))</f>
        <v/>
      </c>
      <c r="E43" s="60">
        <f>IF(E$40="Not Offered","",VLOOKUP(E$40,Data!$G:$BB,4,FALSE))</f>
        <v>2100000</v>
      </c>
      <c r="F43" s="59">
        <f>IF(F$40="Not Offered","",VLOOKUP(F$40,Data!$G:$BB,4,FALSE))</f>
        <v>2400000</v>
      </c>
      <c r="G43" s="60">
        <f>IF(G$40="Not Offered","",VLOOKUP(G$40,Data!$G:$BB,4,FALSE))</f>
        <v>2400000</v>
      </c>
      <c r="H43" s="59">
        <f>IF(H$40="Not Offered","",VLOOKUP(H$40,Data!$G:$BB,4,FALSE))</f>
        <v>3000000</v>
      </c>
      <c r="I43" s="60">
        <f>IF(I$40="Not Offered","",VLOOKUP(I$40,Data!$G:$BB,4,FALSE))</f>
        <v>400000</v>
      </c>
      <c r="J43" s="147" t="str">
        <f>IF(J$40="Not Offered","",VLOOKUP(J$40,Data!$G:$BB,4,FALSE))</f>
        <v/>
      </c>
      <c r="K43" s="60">
        <f>IF(K$40="Not Offered","",VLOOKUP(K$40,Data!$G:$BB,4,FALSE))</f>
        <v>900000</v>
      </c>
      <c r="L43" s="59">
        <f>IF(L$40="Not Offered","",VLOOKUP(L$40,Data!$G:$BB,4,FALSE))</f>
        <v>2100000</v>
      </c>
      <c r="M43" s="60">
        <f>IF(M$40="Not Offered","",VLOOKUP(M$40,Data!$G:$BB,4,FALSE))</f>
        <v>2400000</v>
      </c>
      <c r="N43" s="59" t="str">
        <f>IF(N$40="Not Offered","",VLOOKUP(N$40,Data!$G:$BB,4,FALSE))</f>
        <v/>
      </c>
      <c r="O43" s="60">
        <f>IF(O$40="Not Offered","",VLOOKUP(O$40,Data!$G:$BB,4,FALSE))</f>
        <v>3000000</v>
      </c>
      <c r="P43" s="59">
        <f>IF(P$40="Not Offered","",VLOOKUP(P$40,Data!$G:$BB,4,FALSE))</f>
        <v>600000</v>
      </c>
      <c r="Q43" s="60" t="str">
        <f>IF(Q$40="Not Offered","",VLOOKUP(Q$40,Data!$G:$BB,4,FALSE))</f>
        <v/>
      </c>
      <c r="R43" s="59" t="str">
        <f>IF(R$40="Not Offered","",VLOOKUP(R$40,Data!$G:$BB,4,FALSE))</f>
        <v/>
      </c>
    </row>
    <row r="44" spans="1:18" ht="24.95" customHeight="1" x14ac:dyDescent="0.2">
      <c r="A44" s="340"/>
      <c r="B44" s="66" t="s">
        <v>31</v>
      </c>
      <c r="C44" s="60">
        <f>IF(C$40="Not Offered","",VLOOKUP(C$40,Data!$G:$BB,5,FALSE))</f>
        <v>179000</v>
      </c>
      <c r="D44" s="59" t="str">
        <f>IF(D$40="Not Offered","",VLOOKUP(D$40,Data!$G:$BB,5,FALSE))</f>
        <v/>
      </c>
      <c r="E44" s="60">
        <f>IF(E$40="Not Offered","",VLOOKUP(E$40,Data!$G:$BB,5,FALSE))</f>
        <v>207000</v>
      </c>
      <c r="F44" s="59">
        <f>IF(F$40="Not Offered","",VLOOKUP(F$40,Data!$G:$BB,5,FALSE))</f>
        <v>271000</v>
      </c>
      <c r="G44" s="60">
        <f>IF(G$40="Not Offered","",VLOOKUP(G$40,Data!$G:$BB,5,FALSE))</f>
        <v>50000</v>
      </c>
      <c r="H44" s="59">
        <f>IF(H$40="Not Offered","",VLOOKUP(H$40,Data!$G:$BB,5,FALSE))</f>
        <v>50000</v>
      </c>
      <c r="I44" s="60">
        <f>IF(I$40="Not Offered","",VLOOKUP(I$40,Data!$G:$BB,5,FALSE))</f>
        <v>6667</v>
      </c>
      <c r="J44" s="147" t="str">
        <f>IF(J$40="Not Offered","",VLOOKUP(J$40,Data!$G:$BB,5,FALSE))</f>
        <v/>
      </c>
      <c r="K44" s="60">
        <f>IF(K$40="Not Offered","",VLOOKUP(K$40,Data!$G:$BB,5,FALSE))</f>
        <v>15000</v>
      </c>
      <c r="L44" s="59">
        <f>IF(L$40="Not Offered","",VLOOKUP(L$40,Data!$G:$BB,5,FALSE))</f>
        <v>35000</v>
      </c>
      <c r="M44" s="60">
        <f>IF(M$40="Not Offered","",VLOOKUP(M$40,Data!$G:$BB,5,FALSE))</f>
        <v>40000</v>
      </c>
      <c r="N44" s="59" t="str">
        <f>IF(N$40="Not Offered","",VLOOKUP(N$40,Data!$G:$BB,5,FALSE))</f>
        <v/>
      </c>
      <c r="O44" s="60">
        <f>IF(O$40="Not Offered","",VLOOKUP(O$40,Data!$G:$BB,5,FALSE))</f>
        <v>50000</v>
      </c>
      <c r="P44" s="59">
        <f>IF(P$40="Not Offered","",VLOOKUP(P$40,Data!$G:$BB,5,FALSE))</f>
        <v>60000</v>
      </c>
      <c r="Q44" s="60" t="str">
        <f>IF(Q$40="Not Offered","",VLOOKUP(Q$40,Data!$G:$BB,5,FALSE))</f>
        <v/>
      </c>
      <c r="R44" s="59" t="str">
        <f>IF(R$40="Not Offered","",VLOOKUP(R$40,Data!$G:$BB,5,FALSE))</f>
        <v/>
      </c>
    </row>
    <row r="45" spans="1:18" ht="24.95" customHeight="1" x14ac:dyDescent="0.2">
      <c r="A45" s="393" t="s">
        <v>63</v>
      </c>
      <c r="B45" s="66" t="s">
        <v>64</v>
      </c>
      <c r="C45" s="94">
        <f>IF(C$40="Not Offered","",VLOOKUP(C$40,Data!$G:$BB,6,FALSE))</f>
        <v>3415.5</v>
      </c>
      <c r="D45" s="67" t="str">
        <f>IF(D$40="Not Offered","",VLOOKUP(D$40,Data!$G:$BB,6,FALSE))</f>
        <v/>
      </c>
      <c r="E45" s="94">
        <f>IF(E$40="Not Offered","",VLOOKUP(E$40,Data!$G:$BB,6,FALSE))</f>
        <v>4793.8</v>
      </c>
      <c r="F45" s="67">
        <f>IF(F$40="Not Offered","",VLOOKUP(F$40,Data!$G:$BB,6,FALSE))</f>
        <v>5487.9</v>
      </c>
      <c r="G45" s="94">
        <f>IF(G$40="Not Offered","",VLOOKUP(G$40,Data!$G:$BB,6,FALSE))</f>
        <v>5546.6125000000002</v>
      </c>
      <c r="H45" s="67">
        <f>IF(H$40="Not Offered","",VLOOKUP(H$40,Data!$G:$BB,6,FALSE))</f>
        <v>6488.2125000000005</v>
      </c>
      <c r="I45" s="94">
        <f>IF(I$40="Not Offered","",VLOOKUP(I$40,Data!$G:$BB,6,FALSE))</f>
        <v>2883.65</v>
      </c>
      <c r="J45" s="148" t="str">
        <f>IF(J$40="Not Offered","",VLOOKUP(J$40,Data!$G:$BB,6,FALSE))</f>
        <v/>
      </c>
      <c r="K45" s="94">
        <f>IF(K$40="Not Offered","",VLOOKUP(K$40,Data!$G:$BB,6,FALSE))</f>
        <v>3668.5</v>
      </c>
      <c r="L45" s="67">
        <f>IF(L$40="Not Offered","",VLOOKUP(L$40,Data!$G:$BB,6,FALSE))</f>
        <v>5186.5</v>
      </c>
      <c r="M45" s="94">
        <f>IF(M$40="Not Offered","",VLOOKUP(M$40,Data!$G:$BB,6,FALSE))</f>
        <v>6286.5</v>
      </c>
      <c r="N45" s="67" t="str">
        <f>IF(N$40="Not Offered","",VLOOKUP(N$40,Data!$G:$BB,6,FALSE))</f>
        <v/>
      </c>
      <c r="O45" s="94">
        <f>IF(O$40="Not Offered","",VLOOKUP(O$40,Data!$G:$BB,6,FALSE))</f>
        <v>5298.4800000000005</v>
      </c>
      <c r="P45" s="67">
        <f>IF(P$40="Not Offered","",VLOOKUP(P$40,Data!$G:$BB,6,FALSE))</f>
        <v>2757.35</v>
      </c>
      <c r="Q45" s="94" t="str">
        <f>IF(Q$40="Not Offered","",VLOOKUP(Q$40,Data!$G:$BB,6,FALSE))</f>
        <v/>
      </c>
      <c r="R45" s="67" t="str">
        <f>IF(R$40="Not Offered","",VLOOKUP(R$40,Data!$G:$BB,6,FALSE))</f>
        <v/>
      </c>
    </row>
    <row r="46" spans="1:18" ht="24.95" customHeight="1" x14ac:dyDescent="0.2">
      <c r="A46" s="396"/>
      <c r="B46" s="66" t="str">
        <f>$B$3&amp;" BW CPC"</f>
        <v>Zone 3 - Broome within 20km BW CPC</v>
      </c>
      <c r="C46" s="95">
        <f>IF(C$40="Not Offered","",VLOOKUP(C$40,Data!$G:$AL,5+2*(MATCH($B$3,Locations,0)),FALSE))</f>
        <v>9.3500000000000007E-3</v>
      </c>
      <c r="D46" s="68" t="str">
        <f>IF(D$40="Not Offered","",VLOOKUP(D$40,Data!$G:$AL,5+2*(MATCH($B$3,Locations,0)),FALSE))</f>
        <v/>
      </c>
      <c r="E46" s="95">
        <f>IF(E$40="Not Offered","",VLOOKUP(E$40,Data!$G:$AL,5+2*(MATCH($B$3,Locations,0)),FALSE))</f>
        <v>9.4000000000000004E-3</v>
      </c>
      <c r="F46" s="68">
        <f>IF(F$40="Not Offered","",VLOOKUP(F$40,Data!$G:$AL,5+2*(MATCH($B$3,Locations,0)),FALSE))</f>
        <v>9.3500000000000007E-3</v>
      </c>
      <c r="G46" s="95">
        <f>IF(G$40="Not Offered","",VLOOKUP(G$40,Data!$G:$AL,5+2*(MATCH($B$3,Locations,0)),FALSE))</f>
        <v>1.0999999999999999E-2</v>
      </c>
      <c r="H46" s="68">
        <f>IF(H$40="Not Offered","",VLOOKUP(H$40,Data!$G:$AL,5+2*(MATCH($B$3,Locations,0)),FALSE))</f>
        <v>1.0999999999999999E-2</v>
      </c>
      <c r="I46" s="95">
        <f>IF(I$40="Not Offered","",VLOOKUP(I$40,Data!$G:$AL,5+2*(MATCH($B$3,Locations,0)),FALSE))</f>
        <v>1.32E-2</v>
      </c>
      <c r="J46" s="149" t="str">
        <f>IF(J$40="Not Offered","",VLOOKUP(J$40,Data!$G:$AL,5+2*(MATCH($B$3,Locations,0)),FALSE))</f>
        <v/>
      </c>
      <c r="K46" s="95">
        <f>IF(K$40="Not Offered","",VLOOKUP(K$40,Data!$G:$AL,5+2*(MATCH($B$3,Locations,0)),FALSE))</f>
        <v>1.0999999999999999E-2</v>
      </c>
      <c r="L46" s="68">
        <f>IF(L$40="Not Offered","",VLOOKUP(L$40,Data!$G:$AL,5+2*(MATCH($B$3,Locations,0)),FALSE))</f>
        <v>1.0999999999999999E-2</v>
      </c>
      <c r="M46" s="95">
        <f>IF(M$40="Not Offered","",VLOOKUP(M$40,Data!$G:$AL,5+2*(MATCH($B$3,Locations,0)),FALSE))</f>
        <v>1.0999999999999999E-2</v>
      </c>
      <c r="N46" s="68" t="str">
        <f>IF(N$40="Not Offered","",VLOOKUP(N$40,Data!$G:$AL,5+2*(MATCH($B$3,Locations,0)),FALSE))</f>
        <v/>
      </c>
      <c r="O46" s="95">
        <f>IF(O$40="Not Offered","",VLOOKUP(O$40,Data!$G:$AL,5+2*(MATCH($B$3,Locations,0)),FALSE))</f>
        <v>1.7600000000000001E-2</v>
      </c>
      <c r="P46" s="68">
        <f>IF(P$40="Not Offered","",VLOOKUP(P$40,Data!$G:$AL,5+2*(MATCH($B$3,Locations,0)),FALSE))</f>
        <v>2.6400000000000003E-2</v>
      </c>
      <c r="Q46" s="95" t="str">
        <f>IF(Q$40="Not Offered","",VLOOKUP(Q$40,Data!$G:$AL,5+2*(MATCH($B$3,Locations,0)),FALSE))</f>
        <v/>
      </c>
      <c r="R46" s="68" t="str">
        <f>IF(R$40="Not Offered","",VLOOKUP(R$40,Data!$G:$AL,5+2*(MATCH($B$3,Locations,0)),FALSE))</f>
        <v/>
      </c>
    </row>
    <row r="47" spans="1:18" ht="24.95" customHeight="1" x14ac:dyDescent="0.2">
      <c r="A47" s="396"/>
      <c r="B47" s="66" t="str">
        <f>$B$3&amp;" Colour CPC"</f>
        <v>Zone 3 - Broome within 20km Colour CPC</v>
      </c>
      <c r="C47" s="95">
        <f>IF(C$40="Not Offered","",VLOOKUP(C$40,Data!$G:$AL,6+2*(MATCH($B$3,Locations,0)),FALSE))</f>
        <v>9.2971999999999999E-2</v>
      </c>
      <c r="D47" s="68" t="str">
        <f>IF(D$40="Not Offered","",VLOOKUP(D$40,Data!$G:$AL,6+2*(MATCH($B$3,Locations,0)),FALSE))</f>
        <v/>
      </c>
      <c r="E47" s="95">
        <f>IF(E$40="Not Offered","",VLOOKUP(E$40,Data!$G:$AL,6+2*(MATCH($B$3,Locations,0)),FALSE))</f>
        <v>9.4E-2</v>
      </c>
      <c r="F47" s="68">
        <f>IF(F$40="Not Offered","",VLOOKUP(F$40,Data!$G:$AL,6+2*(MATCH($B$3,Locations,0)),FALSE))</f>
        <v>9.2971999999999999E-2</v>
      </c>
      <c r="G47" s="95">
        <f>IF(G$40="Not Offered","",VLOOKUP(G$40,Data!$G:$AL,6+2*(MATCH($B$3,Locations,0)),FALSE))</f>
        <v>8.7999999999999995E-2</v>
      </c>
      <c r="H47" s="68">
        <f>IF(H$40="Not Offered","",VLOOKUP(H$40,Data!$G:$AL,6+2*(MATCH($B$3,Locations,0)),FALSE))</f>
        <v>8.7999999999999995E-2</v>
      </c>
      <c r="I47" s="95">
        <f>IF(I$40="Not Offered","",VLOOKUP(I$40,Data!$G:$AL,6+2*(MATCH($B$3,Locations,0)),FALSE))</f>
        <v>0.13200000000000001</v>
      </c>
      <c r="J47" s="149" t="str">
        <f>IF(J$40="Not Offered","",VLOOKUP(J$40,Data!$G:$AL,6+2*(MATCH($B$3,Locations,0)),FALSE))</f>
        <v/>
      </c>
      <c r="K47" s="95">
        <f>IF(K$40="Not Offered","",VLOOKUP(K$40,Data!$G:$AL,6+2*(MATCH($B$3,Locations,0)),FALSE))</f>
        <v>0.11</v>
      </c>
      <c r="L47" s="68">
        <f>IF(L$40="Not Offered","",VLOOKUP(L$40,Data!$G:$AL,6+2*(MATCH($B$3,Locations,0)),FALSE))</f>
        <v>0.11</v>
      </c>
      <c r="M47" s="95">
        <f>IF(M$40="Not Offered","",VLOOKUP(M$40,Data!$G:$AL,6+2*(MATCH($B$3,Locations,0)),FALSE))</f>
        <v>0.11</v>
      </c>
      <c r="N47" s="68" t="str">
        <f>IF(N$40="Not Offered","",VLOOKUP(N$40,Data!$G:$AL,6+2*(MATCH($B$3,Locations,0)),FALSE))</f>
        <v/>
      </c>
      <c r="O47" s="95">
        <f>IF(O$40="Not Offered","",VLOOKUP(O$40,Data!$G:$AL,6+2*(MATCH($B$3,Locations,0)),FALSE))</f>
        <v>0.15400000000000003</v>
      </c>
      <c r="P47" s="68">
        <f>IF(P$40="Not Offered","",VLOOKUP(P$40,Data!$G:$AL,6+2*(MATCH($B$3,Locations,0)),FALSE))</f>
        <v>0.17600000000000002</v>
      </c>
      <c r="Q47" s="95" t="str">
        <f>IF(Q$40="Not Offered","",VLOOKUP(Q$40,Data!$G:$AL,6+2*(MATCH($B$3,Locations,0)),FALSE))</f>
        <v/>
      </c>
      <c r="R47" s="68" t="str">
        <f>IF(R$40="Not Offered","",VLOOKUP(R$40,Data!$G:$AL,6+2*(MATCH($B$3,Locations,0)),FALSE))</f>
        <v/>
      </c>
    </row>
    <row r="48" spans="1:18" ht="24.95" customHeight="1" x14ac:dyDescent="0.2">
      <c r="A48" s="397"/>
      <c r="B48" s="66" t="str">
        <f>$B$3&amp;" Surcharge &amp; Installation"</f>
        <v>Zone 3 - Broome within 20km Surcharge &amp; Installation</v>
      </c>
      <c r="C48" s="228">
        <f>IF(C40="Not Offered","",IF($B$3="Zone 1 (Perth Metro)",0,VLOOKUP(C40,Data!$G:$BK,44+(MATCH($B$3,Locations,0)),FALSE)))</f>
        <v>385</v>
      </c>
      <c r="D48" s="229" t="str">
        <f>IF(D$40="Not Offered","",IF($B$3="Zone 1 (Perth Metro)",0,VLOOKUP(D$40,Data!$G:$BK,44+(MATCH($B$3,Locations,0)),FALSE)))</f>
        <v/>
      </c>
      <c r="E48" s="228">
        <f>IF(E$40="Not Offered","",IF($B$3="Zone 1 (Perth Metro)",0,VLOOKUP(E$40,Data!$G:$BK,44+(MATCH($B$3,Locations,0)),FALSE)))</f>
        <v>385</v>
      </c>
      <c r="F48" s="229">
        <f>IF(F$40="Not Offered","",IF($B$3="Zone 1 (Perth Metro)",0,VLOOKUP(F$40,Data!$G:$BK,44+(MATCH($B$3,Locations,0)),FALSE)))</f>
        <v>385</v>
      </c>
      <c r="G48" s="228">
        <f>IF(G$40="Not Offered","",IF($B$3="Zone 1 (Perth Metro)",0,VLOOKUP(G$40,Data!$G:$BK,44+(MATCH($B$3,Locations,0)),FALSE)))</f>
        <v>231</v>
      </c>
      <c r="H48" s="229">
        <f>IF(H$40="Not Offered","",IF($B$3="Zone 1 (Perth Metro)",0,VLOOKUP(H$40,Data!$G:$BK,44+(MATCH($B$3,Locations,0)),FALSE)))</f>
        <v>671</v>
      </c>
      <c r="I48" s="228">
        <f>IF(I$40="Not Offered","",IF($B$3="Zone 1 (Perth Metro)",0,VLOOKUP(I$40,Data!$G:$BK,44+(MATCH($B$3,Locations,0)),FALSE)))</f>
        <v>231</v>
      </c>
      <c r="J48" s="234" t="str">
        <f>IF(J$40="Not Offered","",IF($B$3="Zone 1 (Perth Metro)",0,VLOOKUP(J$40,Data!$G:$BK,44+(MATCH($B$3,Locations,0)),FALSE)))</f>
        <v/>
      </c>
      <c r="K48" s="228">
        <f>IF(K$40="Not Offered","",IF($B$3="Zone 1 (Perth Metro)",0,VLOOKUP(K$40,Data!$G:$BK,44+(MATCH($B$3,Locations,0)),FALSE)))</f>
        <v>770</v>
      </c>
      <c r="L48" s="229">
        <f>IF(L$40="Not Offered","",IF($B$3="Zone 1 (Perth Metro)",0,VLOOKUP(L$40,Data!$G:$BK,44+(MATCH($B$3,Locations,0)),FALSE)))</f>
        <v>990</v>
      </c>
      <c r="M48" s="228">
        <f>IF(M$40="Not Offered","",IF($B$3="Zone 1 (Perth Metro)",0,VLOOKUP(M$40,Data!$G:$BK,44+(MATCH($B$3,Locations,0)),FALSE)))</f>
        <v>1210</v>
      </c>
      <c r="N48" s="229" t="str">
        <f>IF(N$40="Not Offered","",IF($B$3="Zone 1 (Perth Metro)",0,VLOOKUP(N$40,Data!$G:$BK,44+(MATCH($B$3,Locations,0)),FALSE)))</f>
        <v/>
      </c>
      <c r="O48" s="228">
        <f>IF(O$40="Not Offered","",IF($B$3="Zone 1 (Perth Metro)",0,VLOOKUP(O$40,Data!$G:$BK,44+(MATCH($B$3,Locations,0)),FALSE)))</f>
        <v>1260.6000000000001</v>
      </c>
      <c r="P48" s="229">
        <f>IF(P$40="Not Offered","",IF($B$3="Zone 1 (Perth Metro)",0,VLOOKUP(P$40,Data!$G:$BK,44+(MATCH($B$3,Locations,0)),FALSE)))</f>
        <v>1163.9100000000001</v>
      </c>
      <c r="Q48" s="228" t="str">
        <f>IF(Q$40="Not Offered","",IF($B$3="Zone 1 (Perth Metro)",0,VLOOKUP(Q$40,Data!$G:$BK,44+(MATCH($B$3,Locations,0)),FALSE)))</f>
        <v/>
      </c>
      <c r="R48" s="229" t="str">
        <f>IF(R$40="Not Offered","",IF($B$3="Zone 1 (Perth Metro)",0,VLOOKUP(R$40,Data!$G:$BK,44+(MATCH($B$3,Locations,0)),FALSE)))</f>
        <v/>
      </c>
    </row>
    <row r="49" spans="1:18" ht="24.95" customHeight="1" x14ac:dyDescent="0.2">
      <c r="A49" s="65" t="s">
        <v>70</v>
      </c>
      <c r="B49" s="66" t="s">
        <v>71</v>
      </c>
      <c r="C49" s="14" t="str">
        <f>IF(C41="Not Offered","",IF(C43&gt;=$D$3*5,"Y","N"))</f>
        <v>N</v>
      </c>
      <c r="D49" s="4" t="str">
        <f t="shared" ref="D49:R49" si="6">IF(D41="Not Offered","",IF(D43&gt;=$D$3*5,"Y","N"))</f>
        <v/>
      </c>
      <c r="E49" s="14" t="str">
        <f t="shared" si="6"/>
        <v>Y</v>
      </c>
      <c r="F49" s="4" t="str">
        <f t="shared" si="6"/>
        <v>Y</v>
      </c>
      <c r="G49" s="14" t="str">
        <f t="shared" si="6"/>
        <v>Y</v>
      </c>
      <c r="H49" s="4" t="str">
        <f t="shared" si="6"/>
        <v>Y</v>
      </c>
      <c r="I49" s="14" t="str">
        <f t="shared" si="6"/>
        <v>N</v>
      </c>
      <c r="J49" s="150" t="str">
        <f t="shared" si="6"/>
        <v/>
      </c>
      <c r="K49" s="14" t="str">
        <f t="shared" si="6"/>
        <v>Y</v>
      </c>
      <c r="L49" s="4" t="str">
        <f t="shared" si="6"/>
        <v>Y</v>
      </c>
      <c r="M49" s="14" t="str">
        <f t="shared" si="6"/>
        <v>Y</v>
      </c>
      <c r="N49" s="4" t="str">
        <f t="shared" si="6"/>
        <v/>
      </c>
      <c r="O49" s="14" t="str">
        <f t="shared" si="6"/>
        <v>Y</v>
      </c>
      <c r="P49" s="4" t="str">
        <f t="shared" si="6"/>
        <v>Y</v>
      </c>
      <c r="Q49" s="14" t="str">
        <f t="shared" si="6"/>
        <v/>
      </c>
      <c r="R49" s="4" t="str">
        <f t="shared" si="6"/>
        <v/>
      </c>
    </row>
    <row r="50" spans="1:18" ht="24.95" customHeight="1" x14ac:dyDescent="0.2">
      <c r="A50" s="393" t="s">
        <v>66</v>
      </c>
      <c r="B50" s="66" t="s">
        <v>68</v>
      </c>
      <c r="C50" s="96">
        <f>IF(C41="Not Offered","",IF(C46="N/A","",IF(C49="Y",C45,((ROUNDUP(($D$3*5)/C43,0))*C45))+C48+(C46*(1-$F$3)*$D$3*5)+(C47*$F$3*$D$3*5)))</f>
        <v>20253.2</v>
      </c>
      <c r="D50" s="12" t="str">
        <f t="shared" ref="D50:R50" si="7">IF(D41="Not Offered","",IF(D46="N/A","",IF(D49="Y",D45,((ROUNDUP(($D$3*5)/D43,0))*D45))+D48+(D46*(1-$F$3)*$D$3*5)+(D47*$F$3*$D$3*5)))</f>
        <v/>
      </c>
      <c r="E50" s="96">
        <f t="shared" si="7"/>
        <v>18338.800000000003</v>
      </c>
      <c r="F50" s="12">
        <f t="shared" si="7"/>
        <v>18910.099999999999</v>
      </c>
      <c r="G50" s="96">
        <f t="shared" si="7"/>
        <v>18977.612499999999</v>
      </c>
      <c r="H50" s="12">
        <f t="shared" si="7"/>
        <v>20359.212500000001</v>
      </c>
      <c r="I50" s="96">
        <f t="shared" si="7"/>
        <v>24478.300000000003</v>
      </c>
      <c r="J50" s="151" t="str">
        <f t="shared" si="7"/>
        <v/>
      </c>
      <c r="K50" s="96">
        <f t="shared" si="7"/>
        <v>19838.5</v>
      </c>
      <c r="L50" s="12">
        <f t="shared" si="7"/>
        <v>21576.5</v>
      </c>
      <c r="M50" s="96">
        <f t="shared" si="7"/>
        <v>22896.5</v>
      </c>
      <c r="N50" s="12" t="str">
        <f t="shared" si="7"/>
        <v/>
      </c>
      <c r="O50" s="96">
        <f t="shared" si="7"/>
        <v>28999.080000000005</v>
      </c>
      <c r="P50" s="12">
        <f t="shared" si="7"/>
        <v>32081.260000000002</v>
      </c>
      <c r="Q50" s="96" t="str">
        <f t="shared" si="7"/>
        <v/>
      </c>
      <c r="R50" s="12" t="str">
        <f t="shared" si="7"/>
        <v/>
      </c>
    </row>
    <row r="51" spans="1:18" ht="24.95" customHeight="1" x14ac:dyDescent="0.2">
      <c r="A51" s="340"/>
      <c r="B51" s="66" t="s">
        <v>67</v>
      </c>
      <c r="C51" s="13">
        <f t="shared" ref="C51:R51" si="8">IF(C50="","",IF(ISNA(RANK(C50,$A50:$R50)),"",RANK(C50,$A50:$R50,1)))</f>
        <v>5</v>
      </c>
      <c r="D51" s="11" t="str">
        <f t="shared" si="8"/>
        <v/>
      </c>
      <c r="E51" s="13">
        <f t="shared" si="8"/>
        <v>1</v>
      </c>
      <c r="F51" s="11">
        <f t="shared" si="8"/>
        <v>2</v>
      </c>
      <c r="G51" s="13">
        <f t="shared" si="8"/>
        <v>3</v>
      </c>
      <c r="H51" s="11">
        <f t="shared" si="8"/>
        <v>6</v>
      </c>
      <c r="I51" s="13">
        <f t="shared" si="8"/>
        <v>9</v>
      </c>
      <c r="J51" s="146" t="str">
        <f t="shared" si="8"/>
        <v/>
      </c>
      <c r="K51" s="13">
        <f t="shared" si="8"/>
        <v>4</v>
      </c>
      <c r="L51" s="11">
        <f t="shared" si="8"/>
        <v>7</v>
      </c>
      <c r="M51" s="13">
        <f t="shared" si="8"/>
        <v>8</v>
      </c>
      <c r="N51" s="11" t="str">
        <f t="shared" si="8"/>
        <v/>
      </c>
      <c r="O51" s="13">
        <f t="shared" si="8"/>
        <v>10</v>
      </c>
      <c r="P51" s="11">
        <f t="shared" si="8"/>
        <v>11</v>
      </c>
      <c r="Q51" s="13" t="str">
        <f t="shared" si="8"/>
        <v/>
      </c>
      <c r="R51" s="11" t="str">
        <f t="shared" si="8"/>
        <v/>
      </c>
    </row>
    <row r="52" spans="1:18" ht="15" customHeight="1" x14ac:dyDescent="0.2">
      <c r="E52" s="1"/>
    </row>
    <row r="53" spans="1:18" ht="24.95" customHeight="1" x14ac:dyDescent="0.2">
      <c r="A53" s="376" t="s">
        <v>1722</v>
      </c>
      <c r="B53" s="377"/>
      <c r="C53" s="377"/>
      <c r="D53" s="377"/>
      <c r="E53" s="377"/>
      <c r="F53" s="377"/>
      <c r="G53" s="377"/>
      <c r="H53" s="377"/>
      <c r="I53" s="377"/>
      <c r="J53" s="377"/>
      <c r="K53" s="377"/>
      <c r="L53" s="377"/>
      <c r="M53" s="377"/>
      <c r="N53" s="377"/>
      <c r="O53" s="377"/>
      <c r="P53" s="377"/>
      <c r="Q53" s="377"/>
      <c r="R53" s="378"/>
    </row>
    <row r="54" spans="1:18" ht="24.95" customHeight="1" x14ac:dyDescent="0.2">
      <c r="A54" s="398" t="s">
        <v>4</v>
      </c>
      <c r="B54" s="398" t="s">
        <v>65</v>
      </c>
      <c r="C54" s="402" t="s">
        <v>2013</v>
      </c>
      <c r="D54" s="410"/>
      <c r="E54" s="410"/>
      <c r="F54" s="411"/>
      <c r="G54" s="369" t="s">
        <v>10</v>
      </c>
      <c r="H54" s="370"/>
      <c r="I54" s="370"/>
      <c r="J54" s="401"/>
      <c r="K54" s="402" t="s">
        <v>7</v>
      </c>
      <c r="L54" s="403"/>
      <c r="M54" s="403"/>
      <c r="N54" s="404"/>
      <c r="O54" s="402" t="s">
        <v>8</v>
      </c>
      <c r="P54" s="403"/>
      <c r="Q54" s="403"/>
      <c r="R54" s="404"/>
    </row>
    <row r="55" spans="1:18" ht="24.95" customHeight="1" x14ac:dyDescent="0.2">
      <c r="A55" s="399"/>
      <c r="B55" s="399"/>
      <c r="C55" s="63" t="s">
        <v>408</v>
      </c>
      <c r="D55" s="63" t="s">
        <v>409</v>
      </c>
      <c r="E55" s="63" t="s">
        <v>410</v>
      </c>
      <c r="F55" s="63" t="s">
        <v>411</v>
      </c>
      <c r="G55" s="63" t="s">
        <v>408</v>
      </c>
      <c r="H55" s="63" t="s">
        <v>409</v>
      </c>
      <c r="I55" s="63" t="s">
        <v>410</v>
      </c>
      <c r="J55" s="63" t="s">
        <v>411</v>
      </c>
      <c r="K55" s="63" t="s">
        <v>408</v>
      </c>
      <c r="L55" s="63" t="s">
        <v>409</v>
      </c>
      <c r="M55" s="63" t="s">
        <v>410</v>
      </c>
      <c r="N55" s="63" t="s">
        <v>411</v>
      </c>
      <c r="O55" s="63" t="s">
        <v>408</v>
      </c>
      <c r="P55" s="63" t="s">
        <v>409</v>
      </c>
      <c r="Q55" s="63" t="s">
        <v>410</v>
      </c>
      <c r="R55" s="63" t="s">
        <v>411</v>
      </c>
    </row>
    <row r="56" spans="1:18" ht="24.95" customHeight="1" x14ac:dyDescent="0.2">
      <c r="A56" s="394" t="s">
        <v>37</v>
      </c>
      <c r="B56" s="64" t="s">
        <v>29</v>
      </c>
      <c r="C56" s="13" t="str">
        <f>IF(C57="Not Offered","Not Offered",VLOOKUP(C57,Data!$H:$CV,93,FALSE))</f>
        <v>AC6570-T</v>
      </c>
      <c r="D56" s="11" t="str">
        <f>IF(D57="Not Offered","Not Offered",VLOOKUP(D57,Data!$H:$CV,93,FALSE))</f>
        <v>AC7070-T</v>
      </c>
      <c r="E56" s="13" t="str">
        <f>IF(E57="Not Offered","Not Offered",VLOOKUP(E57,Data!$H:$CV,93,FALSE))</f>
        <v>AC7580</v>
      </c>
      <c r="F56" s="11" t="str">
        <f>IF(F57="Not Offered","Not Offered",VLOOKUP(F57,Data!$H:$CV,93,FALSE))</f>
        <v>AC8180</v>
      </c>
      <c r="G56" s="13" t="str">
        <f>IF(G57="Not Offered","Not Offered",VLOOKUP(G57,Data!$H:$CV,93,FALSE))</f>
        <v>C650ib1-WA</v>
      </c>
      <c r="H56" s="11" t="str">
        <f>IF(H57="Not Offered","Not Offered",VLOOKUP(H57,Data!$H:$CV,93,FALSE))</f>
        <v>Not Offered</v>
      </c>
      <c r="I56" s="13" t="str">
        <f>IF(I57="Not Offered","Not Offered",VLOOKUP(I57,Data!$H:$CV,93,FALSE))</f>
        <v>C750i-WA</v>
      </c>
      <c r="J56" s="11" t="str">
        <f>IF(J57="Not Offered","Not Offered",VLOOKUP(J57,Data!$H:$CV,93,FALSE))</f>
        <v>Not Offered</v>
      </c>
      <c r="K56" s="13" t="str">
        <f>IF(K57="Not Offered","Not Offered",VLOOKUP(K57,Data!$H:$CV,93,FALSE))</f>
        <v>822UG06054</v>
      </c>
      <c r="L56" s="11" t="str">
        <f>IF(L57="Not Offered","Not Offered",VLOOKUP(L57,Data!$H:$CV,93,FALSE))</f>
        <v>1102XP3AU0</v>
      </c>
      <c r="M56" s="13" t="str">
        <f>IF(M57="Not Offered","Not Offered",VLOOKUP(M57,Data!$H:$CV,93,FALSE))</f>
        <v>1102XN3AU0</v>
      </c>
      <c r="N56" s="11" t="str">
        <f>IF(N57="Not Offered","Not Offered",VLOOKUP(N57,Data!$H:$CV,93,FALSE))</f>
        <v>1102XC3AU</v>
      </c>
      <c r="O56" s="13">
        <f>IF(O57="Not Offered","Not Offered",VLOOKUP(O57,Data!$H:$CV,93,FALSE))</f>
        <v>418326</v>
      </c>
      <c r="P56" s="11">
        <f>IF(P57="Not Offered","Not Offered",VLOOKUP(P57,Data!$H:$CV,93,FALSE))</f>
        <v>418170</v>
      </c>
      <c r="Q56" s="13">
        <f>IF(Q57="Not Offered","Not Offered",VLOOKUP(Q57,Data!$H:$CV,93,FALSE))</f>
        <v>418176</v>
      </c>
      <c r="R56" s="11" t="str">
        <f>IF(R57="Not Offered","Not Offered",VLOOKUP(R57,Data!$H:$CV,93,FALSE))</f>
        <v>Not Offered</v>
      </c>
    </row>
    <row r="57" spans="1:18" ht="24.95" customHeight="1" x14ac:dyDescent="0.2">
      <c r="A57" s="395"/>
      <c r="B57" s="66" t="s">
        <v>72</v>
      </c>
      <c r="C57" s="13" t="str">
        <f>Data!$H12</f>
        <v>Apeos C6570</v>
      </c>
      <c r="D57" s="11" t="str">
        <f>Data!$H13</f>
        <v>Apeos C7070</v>
      </c>
      <c r="E57" s="13" t="str">
        <f>Data!$H14</f>
        <v>Apeos C7580</v>
      </c>
      <c r="F57" s="11" t="str">
        <f>Data!$H15</f>
        <v>Apeos C8180</v>
      </c>
      <c r="G57" s="13" t="str">
        <f>Data!$H26</f>
        <v>bizhub C650i</v>
      </c>
      <c r="H57" s="11" t="str">
        <f>Data!$H27</f>
        <v>Not Offered</v>
      </c>
      <c r="I57" s="13" t="str">
        <f>Data!$H28</f>
        <v>bizhub C750i</v>
      </c>
      <c r="J57" s="11" t="str">
        <f>Data!$H29</f>
        <v>Not Offered</v>
      </c>
      <c r="K57" s="13" t="str">
        <f>Data!$H40</f>
        <v>TASkalfa 6054ci</v>
      </c>
      <c r="L57" s="11" t="str">
        <f>Data!$H41</f>
        <v>TASKalfa 7353ci</v>
      </c>
      <c r="M57" s="13" t="str">
        <f>Data!$H42</f>
        <v>TASKalfa 8353ci</v>
      </c>
      <c r="N57" s="11" t="str">
        <f>Data!$H43</f>
        <v>TASKalfa 7054ci</v>
      </c>
      <c r="O57" s="13" t="str">
        <f>Data!$H54</f>
        <v>IM C6010</v>
      </c>
      <c r="P57" s="11" t="str">
        <f>Data!$H55</f>
        <v>IM C6500</v>
      </c>
      <c r="Q57" s="13" t="str">
        <f>Data!$H56</f>
        <v>IM C8000</v>
      </c>
      <c r="R57" s="11" t="str">
        <f>Data!$H57</f>
        <v>Not Offered</v>
      </c>
    </row>
    <row r="58" spans="1:18" ht="24.95" customHeight="1" x14ac:dyDescent="0.2">
      <c r="A58" s="395"/>
      <c r="B58" s="66" t="s">
        <v>33</v>
      </c>
      <c r="C58" s="13">
        <f>IF(C$56="Not Offered","",VLOOKUP(C$56,Data!$G:$BB,3,FALSE))</f>
        <v>65</v>
      </c>
      <c r="D58" s="11">
        <f>IF(D$56="Not Offered","",VLOOKUP(D$56,Data!$G:$BB,3,FALSE))</f>
        <v>70</v>
      </c>
      <c r="E58" s="13">
        <f>IF(E$56="Not Offered","",VLOOKUP(E$56,Data!$G:$BB,3,FALSE))</f>
        <v>75</v>
      </c>
      <c r="F58" s="11">
        <f>IF(F$56="Not Offered","",VLOOKUP(F$56,Data!$G:$BB,3,FALSE))</f>
        <v>80</v>
      </c>
      <c r="G58" s="13">
        <f>IF(G$56="Not Offered","",VLOOKUP(G$56,Data!$G:$BB,3,FALSE))</f>
        <v>65</v>
      </c>
      <c r="H58" s="11" t="str">
        <f>IF(H$56="Not Offered","",VLOOKUP(H$56,Data!$G:$BB,3,FALSE))</f>
        <v/>
      </c>
      <c r="I58" s="13">
        <f>IF(I$56="Not Offered","",VLOOKUP(I$56,Data!$G:$BB,3,FALSE))</f>
        <v>75</v>
      </c>
      <c r="J58" s="11" t="str">
        <f>IF(J$56="Not Offered","",VLOOKUP(J$56,Data!$G:$BB,3,FALSE))</f>
        <v/>
      </c>
      <c r="K58" s="13">
        <f>IF(K$56="Not Offered","",VLOOKUP(K$56,Data!$G:$BB,3,FALSE))</f>
        <v>60</v>
      </c>
      <c r="L58" s="11">
        <f>IF(L$56="Not Offered","",VLOOKUP(L$56,Data!$G:$BB,3,FALSE))</f>
        <v>65</v>
      </c>
      <c r="M58" s="13">
        <f>IF(M$56="Not Offered","",VLOOKUP(M$56,Data!$G:$BB,3,FALSE))</f>
        <v>70</v>
      </c>
      <c r="N58" s="11">
        <f>IF(N$56="Not Offered","",VLOOKUP(N$56,Data!$G:$BB,3,FALSE))</f>
        <v>70</v>
      </c>
      <c r="O58" s="13">
        <f>IF(O$56="Not Offered","",VLOOKUP(O$56,Data!$G:$BB,3,FALSE))</f>
        <v>60</v>
      </c>
      <c r="P58" s="11">
        <f>IF(P$56="Not Offered","",VLOOKUP(P$56,Data!$G:$BB,3,FALSE))</f>
        <v>65</v>
      </c>
      <c r="Q58" s="13">
        <f>IF(Q$56="Not Offered","",VLOOKUP(Q$56,Data!$G:$BB,3,FALSE))</f>
        <v>80</v>
      </c>
      <c r="R58" s="11" t="str">
        <f>IF(R$56="Not Offered","",VLOOKUP(R$56,Data!$G:$BB,3,FALSE))</f>
        <v/>
      </c>
    </row>
    <row r="59" spans="1:18" ht="24.95" customHeight="1" x14ac:dyDescent="0.2">
      <c r="A59" s="395"/>
      <c r="B59" s="66" t="s">
        <v>30</v>
      </c>
      <c r="C59" s="60">
        <f>IF(C$56="Not Offered","",VLOOKUP(C$56,Data!$G:$BB,4,FALSE))</f>
        <v>2700000</v>
      </c>
      <c r="D59" s="59">
        <f>IF(D$56="Not Offered","",VLOOKUP(D$56,Data!$G:$BB,4,FALSE))</f>
        <v>3000000</v>
      </c>
      <c r="E59" s="60">
        <f>IF(E$56="Not Offered","",VLOOKUP(E$56,Data!$G:$BB,4,FALSE))</f>
        <v>4200000</v>
      </c>
      <c r="F59" s="59">
        <f>IF(F$56="Not Offered","",VLOOKUP(F$56,Data!$G:$BB,4,FALSE))</f>
        <v>4200000</v>
      </c>
      <c r="G59" s="60">
        <f>IF(G$56="Not Offered","",VLOOKUP(G$56,Data!$G:$BB,4,FALSE))</f>
        <v>3200000</v>
      </c>
      <c r="H59" s="59" t="str">
        <f>IF(H$56="Not Offered","",VLOOKUP(H$56,Data!$G:$BB,4,FALSE))</f>
        <v/>
      </c>
      <c r="I59" s="60">
        <f>IF(I$56="Not Offered","",VLOOKUP(I$56,Data!$G:$BB,4,FALSE))</f>
        <v>5000000</v>
      </c>
      <c r="J59" s="59" t="str">
        <f>IF(J$56="Not Offered","",VLOOKUP(J$56,Data!$G:$BB,4,FALSE))</f>
        <v/>
      </c>
      <c r="K59" s="60">
        <f>IF(K$56="Not Offered","",VLOOKUP(K$56,Data!$G:$BB,4,FALSE))</f>
        <v>2500000</v>
      </c>
      <c r="L59" s="59">
        <f>IF(L$56="Not Offered","",VLOOKUP(L$56,Data!$G:$BB,4,FALSE))</f>
        <v>5000000</v>
      </c>
      <c r="M59" s="60">
        <f>IF(M$56="Not Offered","",VLOOKUP(M$56,Data!$G:$BB,4,FALSE))</f>
        <v>5000000</v>
      </c>
      <c r="N59" s="59">
        <f>IF(N$56="Not Offered","",VLOOKUP(N$56,Data!$G:$BB,4,FALSE))</f>
        <v>2800000</v>
      </c>
      <c r="O59" s="60">
        <f>IF(O$56="Not Offered","",VLOOKUP(O$56,Data!$G:$BB,4,FALSE))</f>
        <v>3000000</v>
      </c>
      <c r="P59" s="59">
        <f>IF(P$56="Not Offered","",VLOOKUP(P$56,Data!$G:$BB,4,FALSE))</f>
        <v>9000000</v>
      </c>
      <c r="Q59" s="60">
        <f>IF(Q$56="Not Offered","",VLOOKUP(Q$56,Data!$G:$BB,4,FALSE))</f>
        <v>9000000</v>
      </c>
      <c r="R59" s="59" t="str">
        <f>IF(R$56="Not Offered","",VLOOKUP(R$56,Data!$G:$BB,4,FALSE))</f>
        <v/>
      </c>
    </row>
    <row r="60" spans="1:18" ht="24.95" customHeight="1" x14ac:dyDescent="0.2">
      <c r="A60" s="340"/>
      <c r="B60" s="66" t="s">
        <v>31</v>
      </c>
      <c r="C60" s="60">
        <f>IF(C$56="Not Offered","",VLOOKUP(C$56,Data!$G:$BB,5,FALSE))</f>
        <v>342000</v>
      </c>
      <c r="D60" s="59">
        <f>IF(D$56="Not Offered","",VLOOKUP(D$56,Data!$G:$BB,5,FALSE))</f>
        <v>381000</v>
      </c>
      <c r="E60" s="60">
        <f>IF(E$56="Not Offered","",VLOOKUP(E$56,Data!$G:$BB,5,FALSE))</f>
        <v>422000</v>
      </c>
      <c r="F60" s="59">
        <f>IF(F$56="Not Offered","",VLOOKUP(F$56,Data!$G:$BB,5,FALSE))</f>
        <v>475000</v>
      </c>
      <c r="G60" s="60">
        <f>IF(G$56="Not Offered","",VLOOKUP(G$56,Data!$G:$BB,5,FALSE))</f>
        <v>53000</v>
      </c>
      <c r="H60" s="59" t="str">
        <f>IF(H$56="Not Offered","",VLOOKUP(H$56,Data!$G:$BB,5,FALSE))</f>
        <v/>
      </c>
      <c r="I60" s="60">
        <f>IF(I$56="Not Offered","",VLOOKUP(I$56,Data!$G:$BB,5,FALSE))</f>
        <v>83333</v>
      </c>
      <c r="J60" s="59" t="str">
        <f>IF(J$56="Not Offered","",VLOOKUP(J$56,Data!$G:$BB,5,FALSE))</f>
        <v/>
      </c>
      <c r="K60" s="60">
        <f>IF(K$56="Not Offered","",VLOOKUP(K$56,Data!$G:$BB,5,FALSE))</f>
        <v>41600</v>
      </c>
      <c r="L60" s="59">
        <f>IF(L$56="Not Offered","",VLOOKUP(L$56,Data!$G:$BB,5,FALSE))</f>
        <v>83300</v>
      </c>
      <c r="M60" s="60">
        <f>IF(M$56="Not Offered","",VLOOKUP(M$56,Data!$G:$BB,5,FALSE))</f>
        <v>100000</v>
      </c>
      <c r="N60" s="59">
        <f>IF(N$56="Not Offered","",VLOOKUP(N$56,Data!$G:$BB,5,FALSE))</f>
        <v>41600</v>
      </c>
      <c r="O60" s="60">
        <f>IF(O$56="Not Offered","",VLOOKUP(O$56,Data!$G:$BB,5,FALSE))</f>
        <v>50000</v>
      </c>
      <c r="P60" s="59">
        <f>IF(P$56="Not Offered","",VLOOKUP(P$56,Data!$G:$BB,5,FALSE))</f>
        <v>150000</v>
      </c>
      <c r="Q60" s="60">
        <f>IF(Q$56="Not Offered","",VLOOKUP(Q$56,Data!$G:$BB,5,FALSE))</f>
        <v>150000</v>
      </c>
      <c r="R60" s="59" t="str">
        <f>IF(R$56="Not Offered","",VLOOKUP(R$56,Data!$G:$BB,5,FALSE))</f>
        <v/>
      </c>
    </row>
    <row r="61" spans="1:18" ht="24.95" customHeight="1" x14ac:dyDescent="0.2">
      <c r="A61" s="393" t="s">
        <v>63</v>
      </c>
      <c r="B61" s="66" t="s">
        <v>64</v>
      </c>
      <c r="C61" s="94">
        <f>IF(C$56="Not Offered","",VLOOKUP(C$56,Data!$G:$BB,6,FALSE))</f>
        <v>8131.2</v>
      </c>
      <c r="D61" s="67">
        <f>IF(D$56="Not Offered","",VLOOKUP(D$56,Data!$G:$BB,6,FALSE))</f>
        <v>9274.1</v>
      </c>
      <c r="E61" s="94">
        <f>IF(E$56="Not Offered","",VLOOKUP(E$56,Data!$G:$BB,6,FALSE))</f>
        <v>16918</v>
      </c>
      <c r="F61" s="67">
        <f>IF(F$56="Not Offered","",VLOOKUP(F$56,Data!$G:$BB,6,FALSE))</f>
        <v>21764.6</v>
      </c>
      <c r="G61" s="94">
        <f>IF(G$56="Not Offered","",VLOOKUP(G$56,Data!$G:$BB,6,FALSE))</f>
        <v>8489.1125000000011</v>
      </c>
      <c r="H61" s="67" t="str">
        <f>IF(H$56="Not Offered","",VLOOKUP(H$56,Data!$G:$BB,6,FALSE))</f>
        <v/>
      </c>
      <c r="I61" s="94">
        <f>IF(I$56="Not Offered","",VLOOKUP(I$56,Data!$G:$BB,6,FALSE))</f>
        <v>11534.6</v>
      </c>
      <c r="J61" s="67" t="str">
        <f>IF(J$56="Not Offered","",VLOOKUP(J$56,Data!$G:$BB,6,FALSE))</f>
        <v/>
      </c>
      <c r="K61" s="94">
        <f>IF(K$56="Not Offered","",VLOOKUP(K$56,Data!$G:$BB,6,FALSE))</f>
        <v>7351.3</v>
      </c>
      <c r="L61" s="67">
        <f>IF(L$56="Not Offered","",VLOOKUP(L$56,Data!$G:$BB,6,FALSE))</f>
        <v>12167.65</v>
      </c>
      <c r="M61" s="94">
        <f>IF(M$56="Not Offered","",VLOOKUP(M$56,Data!$G:$BB,6,FALSE))</f>
        <v>13896.85</v>
      </c>
      <c r="N61" s="67">
        <f>IF(N$56="Not Offered","",VLOOKUP(N$56,Data!$G:$BB,6,FALSE))</f>
        <v>11286</v>
      </c>
      <c r="O61" s="94">
        <f>IF(O$56="Not Offered","",VLOOKUP(O$56,Data!$G:$BB,6,FALSE))</f>
        <v>6206.1120000000001</v>
      </c>
      <c r="P61" s="67">
        <f>IF(P$56="Not Offered","",VLOOKUP(P$56,Data!$G:$BB,6,FALSE))</f>
        <v>12355.2</v>
      </c>
      <c r="Q61" s="94">
        <f>IF(Q$56="Not Offered","",VLOOKUP(Q$56,Data!$G:$BB,6,FALSE))</f>
        <v>13420.836000000001</v>
      </c>
      <c r="R61" s="67" t="str">
        <f>IF(R$56="Not Offered","",VLOOKUP(R$56,Data!$G:$BB,6,FALSE))</f>
        <v/>
      </c>
    </row>
    <row r="62" spans="1:18" ht="24.95" customHeight="1" x14ac:dyDescent="0.2">
      <c r="A62" s="396"/>
      <c r="B62" s="66" t="str">
        <f>$B$3&amp;" BW CPC"</f>
        <v>Zone 3 - Broome within 20km BW CPC</v>
      </c>
      <c r="C62" s="95">
        <f>IF(C$56="Not Offered","",VLOOKUP(C$56,Data!$G:$AL,5+2*(MATCH($B$3,Locations,0)),FALSE))</f>
        <v>9.3500000000000007E-3</v>
      </c>
      <c r="D62" s="68">
        <f>IF(D$56="Not Offered","",VLOOKUP(D$56,Data!$G:$AL,5+2*(MATCH($B$3,Locations,0)),FALSE))</f>
        <v>9.4000000000000004E-3</v>
      </c>
      <c r="E62" s="95">
        <f>IF(E$56="Not Offered","",VLOOKUP(E$56,Data!$G:$AL,5+2*(MATCH($B$3,Locations,0)),FALSE))</f>
        <v>9.3500000000000007E-3</v>
      </c>
      <c r="F62" s="68">
        <f>IF(F$56="Not Offered","",VLOOKUP(F$56,Data!$G:$AL,5+2*(MATCH($B$3,Locations,0)),FALSE))</f>
        <v>9.3500000000000007E-3</v>
      </c>
      <c r="G62" s="95">
        <f>IF(G$56="Not Offered","",VLOOKUP(G$56,Data!$G:$AL,5+2*(MATCH($B$3,Locations,0)),FALSE))</f>
        <v>1.0999999999999999E-2</v>
      </c>
      <c r="H62" s="68" t="str">
        <f>IF(H$56="Not Offered","",VLOOKUP(H$56,Data!$G:$AL,5+2*(MATCH($B$3,Locations,0)),FALSE))</f>
        <v/>
      </c>
      <c r="I62" s="95">
        <f>IF(I$56="Not Offered","",VLOOKUP(I$56,Data!$G:$AL,5+2*(MATCH($B$3,Locations,0)),FALSE))</f>
        <v>1.0999999999999999E-2</v>
      </c>
      <c r="J62" s="68" t="str">
        <f>IF(J$56="Not Offered","",VLOOKUP(J$56,Data!$G:$AL,5+2*(MATCH($B$3,Locations,0)),FALSE))</f>
        <v/>
      </c>
      <c r="K62" s="95">
        <f>IF(K$56="Not Offered","",VLOOKUP(K$56,Data!$G:$AL,5+2*(MATCH($B$3,Locations,0)),FALSE))</f>
        <v>1.0999999999999999E-2</v>
      </c>
      <c r="L62" s="68">
        <f>IF(L$56="Not Offered","",VLOOKUP(L$56,Data!$G:$AL,5+2*(MATCH($B$3,Locations,0)),FALSE))</f>
        <v>1.0999999999999999E-2</v>
      </c>
      <c r="M62" s="95">
        <f>IF(M$56="Not Offered","",VLOOKUP(M$56,Data!$G:$AL,5+2*(MATCH($B$3,Locations,0)),FALSE))</f>
        <v>1.0999999999999999E-2</v>
      </c>
      <c r="N62" s="68">
        <f>IF(N$56="Not Offered","",VLOOKUP(N$56,Data!$G:$AL,5+2*(MATCH($B$3,Locations,0)),FALSE))</f>
        <v>1.0999999999999999E-2</v>
      </c>
      <c r="O62" s="95">
        <f>IF(O$56="Not Offered","",VLOOKUP(O$56,Data!$G:$AL,5+2*(MATCH($B$3,Locations,0)),FALSE))</f>
        <v>1.7600000000000001E-2</v>
      </c>
      <c r="P62" s="68">
        <f>IF(P$56="Not Offered","",VLOOKUP(P$56,Data!$G:$AL,5+2*(MATCH($B$3,Locations,0)),FALSE))</f>
        <v>1.7600000000000001E-2</v>
      </c>
      <c r="Q62" s="95">
        <f>IF(Q$56="Not Offered","",VLOOKUP(Q$56,Data!$G:$AL,5+2*(MATCH($B$3,Locations,0)),FALSE))</f>
        <v>1.7600000000000001E-2</v>
      </c>
      <c r="R62" s="68" t="str">
        <f>IF(R$56="Not Offered","",VLOOKUP(R$56,Data!$G:$AL,5+2*(MATCH($B$3,Locations,0)),FALSE))</f>
        <v/>
      </c>
    </row>
    <row r="63" spans="1:18" ht="24.95" customHeight="1" x14ac:dyDescent="0.2">
      <c r="A63" s="396"/>
      <c r="B63" s="66" t="str">
        <f>$B$3&amp;" Colour CPC"</f>
        <v>Zone 3 - Broome within 20km Colour CPC</v>
      </c>
      <c r="C63" s="95">
        <f>IF(C$56="Not Offered","",VLOOKUP(C$56,Data!$G:$AL,6+2*(MATCH($B$3,Locations,0)),FALSE))</f>
        <v>9.2971999999999999E-2</v>
      </c>
      <c r="D63" s="68">
        <f>IF(D$56="Not Offered","",VLOOKUP(D$56,Data!$G:$AL,6+2*(MATCH($B$3,Locations,0)),FALSE))</f>
        <v>9.4E-2</v>
      </c>
      <c r="E63" s="95">
        <f>IF(E$56="Not Offered","",VLOOKUP(E$56,Data!$G:$AL,6+2*(MATCH($B$3,Locations,0)),FALSE))</f>
        <v>9.2971999999999999E-2</v>
      </c>
      <c r="F63" s="68">
        <f>IF(F$56="Not Offered","",VLOOKUP(F$56,Data!$G:$AL,6+2*(MATCH($B$3,Locations,0)),FALSE))</f>
        <v>9.2971999999999999E-2</v>
      </c>
      <c r="G63" s="95">
        <f>IF(G$56="Not Offered","",VLOOKUP(G$56,Data!$G:$AL,6+2*(MATCH($B$3,Locations,0)),FALSE))</f>
        <v>8.7999999999999995E-2</v>
      </c>
      <c r="H63" s="68" t="str">
        <f>IF(H$56="Not Offered","",VLOOKUP(H$56,Data!$G:$AL,6+2*(MATCH($B$3,Locations,0)),FALSE))</f>
        <v/>
      </c>
      <c r="I63" s="95">
        <f>IF(I$56="Not Offered","",VLOOKUP(I$56,Data!$G:$AL,6+2*(MATCH($B$3,Locations,0)),FALSE))</f>
        <v>8.7999999999999995E-2</v>
      </c>
      <c r="J63" s="68" t="str">
        <f>IF(J$56="Not Offered","",VLOOKUP(J$56,Data!$G:$AL,6+2*(MATCH($B$3,Locations,0)),FALSE))</f>
        <v/>
      </c>
      <c r="K63" s="95">
        <f>IF(K$56="Not Offered","",VLOOKUP(K$56,Data!$G:$AL,6+2*(MATCH($B$3,Locations,0)),FALSE))</f>
        <v>0.11</v>
      </c>
      <c r="L63" s="68">
        <f>IF(L$56="Not Offered","",VLOOKUP(L$56,Data!$G:$AL,6+2*(MATCH($B$3,Locations,0)),FALSE))</f>
        <v>0.11</v>
      </c>
      <c r="M63" s="95">
        <f>IF(M$56="Not Offered","",VLOOKUP(M$56,Data!$G:$AL,6+2*(MATCH($B$3,Locations,0)),FALSE))</f>
        <v>0.11</v>
      </c>
      <c r="N63" s="68">
        <f>IF(N$56="Not Offered","",VLOOKUP(N$56,Data!$G:$AL,6+2*(MATCH($B$3,Locations,0)),FALSE))</f>
        <v>0.11</v>
      </c>
      <c r="O63" s="95">
        <f>IF(O$56="Not Offered","",VLOOKUP(O$56,Data!$G:$AL,6+2*(MATCH($B$3,Locations,0)),FALSE))</f>
        <v>0.15400000000000003</v>
      </c>
      <c r="P63" s="68">
        <f>IF(P$56="Not Offered","",VLOOKUP(P$56,Data!$G:$AL,6+2*(MATCH($B$3,Locations,0)),FALSE))</f>
        <v>0.15400000000000003</v>
      </c>
      <c r="Q63" s="95">
        <f>IF(Q$56="Not Offered","",VLOOKUP(Q$56,Data!$G:$AL,6+2*(MATCH($B$3,Locations,0)),FALSE))</f>
        <v>0.15400000000000003</v>
      </c>
      <c r="R63" s="68" t="str">
        <f>IF(R$56="Not Offered","",VLOOKUP(R$56,Data!$G:$AL,6+2*(MATCH($B$3,Locations,0)),FALSE))</f>
        <v/>
      </c>
    </row>
    <row r="64" spans="1:18" ht="24.95" customHeight="1" x14ac:dyDescent="0.2">
      <c r="A64" s="397"/>
      <c r="B64" s="66" t="str">
        <f>$B$3&amp;" Surcharge &amp; Installation"</f>
        <v>Zone 3 - Broome within 20km Surcharge &amp; Installation</v>
      </c>
      <c r="C64" s="228">
        <f>IF(C56="Not Offered","",IF($B$3="Zone 1 (Perth Metro)",0,VLOOKUP(C56,Data!$G:$BK,44+(MATCH($B$3,Locations,0)),FALSE)))</f>
        <v>385</v>
      </c>
      <c r="D64" s="229">
        <f>IF(D56="Not Offered","",IF($B$3="Zone 1 (Perth Metro)",0,VLOOKUP(D56,Data!$G:$BK,44+(MATCH($B$3,Locations,0)),FALSE)))</f>
        <v>385</v>
      </c>
      <c r="E64" s="228">
        <f>IF(E56="Not Offered","",IF($B$3="Zone 1 (Perth Metro)",0,VLOOKUP(E56,Data!$G:$BK,44+(MATCH($B$3,Locations,0)),FALSE)))</f>
        <v>385</v>
      </c>
      <c r="F64" s="229">
        <f>IF(F56="Not Offered","",IF($B$3="Zone 1 (Perth Metro)",0,VLOOKUP(F56,Data!$G:$BK,44+(MATCH($B$3,Locations,0)),FALSE)))</f>
        <v>385</v>
      </c>
      <c r="G64" s="228">
        <f>IF(G56="Not Offered","",IF($B$3="Zone 1 (Perth Metro)",0,VLOOKUP(G56,Data!$G:$BK,44+(MATCH($B$3,Locations,0)),FALSE)))</f>
        <v>880</v>
      </c>
      <c r="H64" s="229" t="str">
        <f>IF(H56="Not Offered","",IF($B$3="Zone 1 (Perth Metro)",0,VLOOKUP(H56,Data!$G:$BK,44+(MATCH($B$3,Locations,0)),FALSE)))</f>
        <v/>
      </c>
      <c r="I64" s="228">
        <f>IF(I56="Not Offered","",IF($B$3="Zone 1 (Perth Metro)",0,VLOOKUP(I56,Data!$G:$BK,44+(MATCH($B$3,Locations,0)),FALSE)))</f>
        <v>1188</v>
      </c>
      <c r="J64" s="229" t="str">
        <f>IF(J56="Not Offered","",IF($B$3="Zone 1 (Perth Metro)",0,VLOOKUP(J56,Data!$G:$BK,44+(MATCH($B$3,Locations,0)),FALSE)))</f>
        <v/>
      </c>
      <c r="K64" s="228">
        <f>IF(K56="Not Offered","",IF($B$3="Zone 1 (Perth Metro)",0,VLOOKUP(K56,Data!$G:$BK,44+(MATCH($B$3,Locations,0)),FALSE)))</f>
        <v>1540</v>
      </c>
      <c r="L64" s="229">
        <f>IF(L56="Not Offered","",IF($B$3="Zone 1 (Perth Metro)",0,VLOOKUP(L56,Data!$G:$BK,44+(MATCH($B$3,Locations,0)),FALSE)))</f>
        <v>1540</v>
      </c>
      <c r="M64" s="228">
        <f>IF(M56="Not Offered","",IF($B$3="Zone 1 (Perth Metro)",0,VLOOKUP(M56,Data!$G:$BK,44+(MATCH($B$3,Locations,0)),FALSE)))</f>
        <v>1540</v>
      </c>
      <c r="N64" s="229">
        <f>IF(N56="Not Offered","",IF($B$3="Zone 1 (Perth Metro)",0,VLOOKUP(N56,Data!$G:$BK,44+(MATCH($B$3,Locations,0)),FALSE)))</f>
        <v>0</v>
      </c>
      <c r="O64" s="228">
        <f>IF(O56="Not Offered","",IF($B$3="Zone 1 (Perth Metro)",0,VLOOKUP(O56,Data!$G:$BK,44+(MATCH($B$3,Locations,0)),FALSE)))</f>
        <v>1344.64</v>
      </c>
      <c r="P64" s="229">
        <f>IF(P56="Not Offered","",IF($B$3="Zone 1 (Perth Metro)",0,VLOOKUP(P56,Data!$G:$BK,44+(MATCH($B$3,Locations,0)),FALSE)))</f>
        <v>2024.0000000000002</v>
      </c>
      <c r="Q64" s="228">
        <f>IF(Q56="Not Offered","",IF($B$3="Zone 1 (Perth Metro)",0,VLOOKUP(Q56,Data!$G:$BK,44+(MATCH($B$3,Locations,0)),FALSE)))</f>
        <v>2122.67</v>
      </c>
      <c r="R64" s="229" t="str">
        <f>IF(R56="Not Offered","",IF($B$3="Zone 1 (Perth Metro)",0,VLOOKUP(R56,Data!$G:$BK,44+(MATCH($B$3,Locations,0)),FALSE)))</f>
        <v/>
      </c>
    </row>
    <row r="65" spans="1:18" ht="24.95" customHeight="1" x14ac:dyDescent="0.2">
      <c r="A65" s="65" t="s">
        <v>70</v>
      </c>
      <c r="B65" s="66" t="s">
        <v>71</v>
      </c>
      <c r="C65" s="14" t="str">
        <f>IF(C57="Not Offered","",IF(C59&gt;=$D$3*5,"Y","N"))</f>
        <v>Y</v>
      </c>
      <c r="D65" s="4" t="str">
        <f t="shared" ref="D65:R65" si="9">IF(D57="Not Offered","",IF(D59&gt;=$D$3*5,"Y","N"))</f>
        <v>Y</v>
      </c>
      <c r="E65" s="14" t="str">
        <f t="shared" si="9"/>
        <v>Y</v>
      </c>
      <c r="F65" s="4" t="str">
        <f t="shared" si="9"/>
        <v>Y</v>
      </c>
      <c r="G65" s="14" t="str">
        <f t="shared" si="9"/>
        <v>Y</v>
      </c>
      <c r="H65" s="4" t="str">
        <f t="shared" si="9"/>
        <v/>
      </c>
      <c r="I65" s="14" t="str">
        <f t="shared" si="9"/>
        <v>Y</v>
      </c>
      <c r="J65" s="4" t="str">
        <f t="shared" si="9"/>
        <v/>
      </c>
      <c r="K65" s="14" t="str">
        <f t="shared" si="9"/>
        <v>Y</v>
      </c>
      <c r="L65" s="4" t="str">
        <f t="shared" si="9"/>
        <v>Y</v>
      </c>
      <c r="M65" s="14" t="str">
        <f t="shared" si="9"/>
        <v>Y</v>
      </c>
      <c r="N65" s="4" t="str">
        <f t="shared" si="9"/>
        <v>Y</v>
      </c>
      <c r="O65" s="14" t="str">
        <f t="shared" si="9"/>
        <v>Y</v>
      </c>
      <c r="P65" s="4" t="str">
        <f t="shared" si="9"/>
        <v>Y</v>
      </c>
      <c r="Q65" s="14" t="str">
        <f t="shared" si="9"/>
        <v>Y</v>
      </c>
      <c r="R65" s="4" t="str">
        <f t="shared" si="9"/>
        <v/>
      </c>
    </row>
    <row r="66" spans="1:18" ht="24.95" customHeight="1" x14ac:dyDescent="0.2">
      <c r="A66" s="393" t="s">
        <v>66</v>
      </c>
      <c r="B66" s="66" t="s">
        <v>68</v>
      </c>
      <c r="C66" s="96">
        <f>IF(C57="Not Offered","",IF(C62="N/A","",IF(C65="Y",C61,((ROUNDUP(($D$3*5)/C59,0))*C61))+C64+(C62*(1-$F$3)*$D$3*5)+(C63*$F$3*$D$3*5)))</f>
        <v>21553.4</v>
      </c>
      <c r="D66" s="12">
        <f t="shared" ref="D66:R66" si="10">IF(D57="Not Offered","",IF(D62="N/A","",IF(D65="Y",D61,((ROUNDUP(($D$3*5)/D59,0))*D61))+D64+(D62*(1-$F$3)*$D$3*5)+(D63*$F$3*$D$3*5)))</f>
        <v>22819.1</v>
      </c>
      <c r="E66" s="96">
        <f t="shared" si="10"/>
        <v>30340.2</v>
      </c>
      <c r="F66" s="12">
        <f t="shared" si="10"/>
        <v>35186.800000000003</v>
      </c>
      <c r="G66" s="96">
        <f t="shared" si="10"/>
        <v>22569.112500000003</v>
      </c>
      <c r="H66" s="12" t="str">
        <f t="shared" si="10"/>
        <v/>
      </c>
      <c r="I66" s="96">
        <f t="shared" si="10"/>
        <v>25922.6</v>
      </c>
      <c r="J66" s="12" t="str">
        <f t="shared" si="10"/>
        <v/>
      </c>
      <c r="K66" s="96">
        <f t="shared" si="10"/>
        <v>24291.3</v>
      </c>
      <c r="L66" s="12">
        <f t="shared" si="10"/>
        <v>29107.65</v>
      </c>
      <c r="M66" s="96">
        <f t="shared" si="10"/>
        <v>30836.85</v>
      </c>
      <c r="N66" s="12">
        <f t="shared" si="10"/>
        <v>26686</v>
      </c>
      <c r="O66" s="96">
        <f t="shared" si="10"/>
        <v>29990.752000000004</v>
      </c>
      <c r="P66" s="12">
        <f t="shared" si="10"/>
        <v>36819.200000000004</v>
      </c>
      <c r="Q66" s="96">
        <f t="shared" si="10"/>
        <v>37983.506000000008</v>
      </c>
      <c r="R66" s="12" t="str">
        <f t="shared" si="10"/>
        <v/>
      </c>
    </row>
    <row r="67" spans="1:18" ht="24.95" customHeight="1" x14ac:dyDescent="0.2">
      <c r="A67" s="340"/>
      <c r="B67" s="66" t="s">
        <v>67</v>
      </c>
      <c r="C67" s="13">
        <f t="shared" ref="C67:R67" si="11">IF(C66="","",IF(ISNA(RANK(C66,$A66:$R66)),"",RANK(C66,$A66:$R66,1)))</f>
        <v>1</v>
      </c>
      <c r="D67" s="11">
        <f t="shared" si="11"/>
        <v>3</v>
      </c>
      <c r="E67" s="13">
        <f t="shared" si="11"/>
        <v>9</v>
      </c>
      <c r="F67" s="11">
        <f t="shared" si="11"/>
        <v>11</v>
      </c>
      <c r="G67" s="13">
        <f t="shared" si="11"/>
        <v>2</v>
      </c>
      <c r="H67" s="11" t="str">
        <f t="shared" si="11"/>
        <v/>
      </c>
      <c r="I67" s="13">
        <f t="shared" si="11"/>
        <v>5</v>
      </c>
      <c r="J67" s="11" t="str">
        <f t="shared" si="11"/>
        <v/>
      </c>
      <c r="K67" s="13">
        <f t="shared" si="11"/>
        <v>4</v>
      </c>
      <c r="L67" s="11">
        <f t="shared" si="11"/>
        <v>7</v>
      </c>
      <c r="M67" s="13">
        <f t="shared" si="11"/>
        <v>10</v>
      </c>
      <c r="N67" s="11">
        <f t="shared" si="11"/>
        <v>6</v>
      </c>
      <c r="O67" s="13">
        <f t="shared" si="11"/>
        <v>8</v>
      </c>
      <c r="P67" s="11">
        <f t="shared" si="11"/>
        <v>12</v>
      </c>
      <c r="Q67" s="13">
        <f t="shared" si="11"/>
        <v>13</v>
      </c>
      <c r="R67" s="11" t="str">
        <f t="shared" si="11"/>
        <v/>
      </c>
    </row>
    <row r="68" spans="1:18" x14ac:dyDescent="0.2"/>
  </sheetData>
  <sheetProtection formatCells="0" formatColumns="0" formatRows="0" sort="0" autoFilter="0"/>
  <mergeCells count="43">
    <mergeCell ref="H2:L2"/>
    <mergeCell ref="A5:J5"/>
    <mergeCell ref="A21:R21"/>
    <mergeCell ref="A37:R37"/>
    <mergeCell ref="A53:R53"/>
    <mergeCell ref="E6:F6"/>
    <mergeCell ref="G6:H6"/>
    <mergeCell ref="C6:D6"/>
    <mergeCell ref="I6:J6"/>
    <mergeCell ref="A6:A7"/>
    <mergeCell ref="B6:B7"/>
    <mergeCell ref="A38:A39"/>
    <mergeCell ref="B38:B39"/>
    <mergeCell ref="C38:F38"/>
    <mergeCell ref="A13:A16"/>
    <mergeCell ref="A29:A32"/>
    <mergeCell ref="G54:J54"/>
    <mergeCell ref="K54:N54"/>
    <mergeCell ref="G38:J38"/>
    <mergeCell ref="K38:N38"/>
    <mergeCell ref="A1:R1"/>
    <mergeCell ref="C54:F54"/>
    <mergeCell ref="O54:R54"/>
    <mergeCell ref="O22:R22"/>
    <mergeCell ref="O38:R38"/>
    <mergeCell ref="B22:B23"/>
    <mergeCell ref="A34:A35"/>
    <mergeCell ref="C22:F22"/>
    <mergeCell ref="G22:J22"/>
    <mergeCell ref="K22:N22"/>
    <mergeCell ref="B54:B55"/>
    <mergeCell ref="A2:F2"/>
    <mergeCell ref="A66:A67"/>
    <mergeCell ref="A40:A44"/>
    <mergeCell ref="A50:A51"/>
    <mergeCell ref="A56:A60"/>
    <mergeCell ref="A8:A12"/>
    <mergeCell ref="A18:A19"/>
    <mergeCell ref="A24:A28"/>
    <mergeCell ref="A45:A48"/>
    <mergeCell ref="A61:A64"/>
    <mergeCell ref="A54:A55"/>
    <mergeCell ref="A22:A23"/>
  </mergeCells>
  <conditionalFormatting sqref="C24">
    <cfRule type="expression" dxfId="161" priority="2">
      <formula>C$40="Not Offered"</formula>
    </cfRule>
  </conditionalFormatting>
  <conditionalFormatting sqref="C64">
    <cfRule type="expression" dxfId="160" priority="1">
      <formula>C$40="Not Offered"</formula>
    </cfRule>
  </conditionalFormatting>
  <conditionalFormatting sqref="C8:J19">
    <cfRule type="expression" dxfId="159" priority="3">
      <formula>C$8="Not Offered"</formula>
    </cfRule>
  </conditionalFormatting>
  <conditionalFormatting sqref="C19:J19">
    <cfRule type="cellIs" dxfId="158" priority="63" operator="equal">
      <formula>MAX($C19:$R19)</formula>
    </cfRule>
    <cfRule type="cellIs" dxfId="157" priority="64" operator="between">
      <formula>((COUNT($C19:$R19)/4)*3)+1</formula>
      <formula>MAX($C19:$J19)-1</formula>
    </cfRule>
    <cfRule type="cellIs" dxfId="156" priority="65" operator="between">
      <formula>2</formula>
      <formula>COUNT($C19:$R19)/4</formula>
    </cfRule>
    <cfRule type="cellIs" dxfId="155" priority="66" operator="equal">
      <formula>1</formula>
    </cfRule>
  </conditionalFormatting>
  <conditionalFormatting sqref="C17:R17">
    <cfRule type="cellIs" dxfId="154" priority="62" operator="equal">
      <formula>"N"</formula>
    </cfRule>
  </conditionalFormatting>
  <conditionalFormatting sqref="C33:R33">
    <cfRule type="cellIs" dxfId="153" priority="21" operator="equal">
      <formula>"N"</formula>
    </cfRule>
  </conditionalFormatting>
  <conditionalFormatting sqref="C35:R35">
    <cfRule type="cellIs" dxfId="152" priority="22" operator="equal">
      <formula>MAX($C35:$R35)</formula>
    </cfRule>
    <cfRule type="cellIs" dxfId="151" priority="23" operator="between">
      <formula>((COUNT($C35:$R35)/4)*3)+1</formula>
      <formula>MAX($C35:$R35)-1</formula>
    </cfRule>
    <cfRule type="cellIs" dxfId="150" priority="24" operator="between">
      <formula>2</formula>
      <formula>COUNT($C35:$R35)/4</formula>
    </cfRule>
    <cfRule type="cellIs" dxfId="149" priority="25" operator="equal">
      <formula>1</formula>
    </cfRule>
  </conditionalFormatting>
  <conditionalFormatting sqref="C40:R51">
    <cfRule type="expression" dxfId="148" priority="31">
      <formula>C$40="Not Offered"</formula>
    </cfRule>
  </conditionalFormatting>
  <conditionalFormatting sqref="C49:R49">
    <cfRule type="cellIs" dxfId="147" priority="26" operator="equal">
      <formula>"N"</formula>
    </cfRule>
  </conditionalFormatting>
  <conditionalFormatting sqref="C51:R51">
    <cfRule type="cellIs" dxfId="146" priority="33" operator="equal">
      <formula>MAX($C51:$R51)</formula>
    </cfRule>
    <cfRule type="cellIs" dxfId="145" priority="34" operator="between">
      <formula>((COUNT($C51:$R51)/4)*3)+1</formula>
      <formula>MAX($C51:$J51)-1</formula>
    </cfRule>
    <cfRule type="cellIs" dxfId="144" priority="35" operator="between">
      <formula>2</formula>
      <formula>COUNT($C51:$R51)/4</formula>
    </cfRule>
    <cfRule type="cellIs" dxfId="143" priority="36" operator="equal">
      <formula>1</formula>
    </cfRule>
  </conditionalFormatting>
  <conditionalFormatting sqref="C56:R63 D64:R64 C65:R67">
    <cfRule type="expression" dxfId="142" priority="4">
      <formula>C$56="Not Offered"</formula>
    </cfRule>
  </conditionalFormatting>
  <conditionalFormatting sqref="C65:R65">
    <cfRule type="cellIs" dxfId="141" priority="5" operator="equal">
      <formula>"N"</formula>
    </cfRule>
  </conditionalFormatting>
  <conditionalFormatting sqref="C67:R67">
    <cfRule type="cellIs" dxfId="140" priority="6" operator="equal">
      <formula>MAX($C67:$R67)</formula>
    </cfRule>
    <cfRule type="cellIs" dxfId="139" priority="7" operator="between">
      <formula>((COUNT($C67:$R67)/4)*3)+1</formula>
      <formula>MAX($C67:$J67)-1</formula>
    </cfRule>
    <cfRule type="cellIs" dxfId="138" priority="8" operator="between">
      <formula>2</formula>
      <formula>COUNT($C67:$R67)/4</formula>
    </cfRule>
    <cfRule type="cellIs" dxfId="137" priority="9" operator="equal">
      <formula>1</formula>
    </cfRule>
  </conditionalFormatting>
  <conditionalFormatting sqref="D24:R24 C25:R35">
    <cfRule type="expression" dxfId="136" priority="20">
      <formula>C$24="Not Offered"</formula>
    </cfRule>
  </conditionalFormatting>
  <conditionalFormatting sqref="P51:R51">
    <cfRule type="cellIs" dxfId="135" priority="27" operator="equal">
      <formula>MAX($C51:$R51)</formula>
    </cfRule>
    <cfRule type="cellIs" dxfId="134" priority="28" operator="between">
      <formula>((COUNT($C51:$R51)/4)*3)+1</formula>
      <formula>MAX($C51:$J51)-1</formula>
    </cfRule>
    <cfRule type="cellIs" dxfId="133" priority="29" operator="between">
      <formula>2</formula>
      <formula>COUNT($C51:$R51)/4</formula>
    </cfRule>
    <cfRule type="cellIs" dxfId="132" priority="30" operator="equal">
      <formula>1</formula>
    </cfRule>
  </conditionalFormatting>
  <dataValidations count="3">
    <dataValidation type="list" allowBlank="1" showInputMessage="1" showErrorMessage="1" sqref="B3" xr:uid="{00000000-0002-0000-0300-000000000000}">
      <formula1>Locations</formula1>
    </dataValidation>
    <dataValidation type="whole" allowBlank="1" showInputMessage="1" showErrorMessage="1" sqref="D3" xr:uid="{00000000-0002-0000-0300-000001000000}">
      <formula1>0</formula1>
      <formula2>5000000</formula2>
    </dataValidation>
    <dataValidation type="decimal" allowBlank="1" showInputMessage="1" showErrorMessage="1" sqref="F3" xr:uid="{00000000-0002-0000-0300-000002000000}">
      <formula1>0</formula1>
      <formula2>1</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8C528E"/>
  </sheetPr>
  <dimension ref="A1:S242"/>
  <sheetViews>
    <sheetView topLeftCell="A120" zoomScale="90" zoomScaleNormal="90" workbookViewId="0">
      <selection activeCell="C139" sqref="C139"/>
    </sheetView>
  </sheetViews>
  <sheetFormatPr defaultColWidth="9.140625" defaultRowHeight="12.75" x14ac:dyDescent="0.2"/>
  <cols>
    <col min="1" max="1" width="25.85546875" style="1" customWidth="1"/>
    <col min="2" max="2" width="21.42578125" style="1" customWidth="1"/>
    <col min="3" max="3" width="63.85546875" style="1" customWidth="1"/>
    <col min="4" max="4" width="12" style="1" customWidth="1"/>
    <col min="5" max="18" width="11.7109375" style="1" customWidth="1"/>
    <col min="19" max="16384" width="9.140625" style="1"/>
  </cols>
  <sheetData>
    <row r="1" spans="1:18" ht="20.100000000000001" customHeight="1" x14ac:dyDescent="0.2">
      <c r="A1" s="416" t="s">
        <v>1690</v>
      </c>
      <c r="B1" s="417"/>
      <c r="C1" s="417"/>
      <c r="D1" s="417"/>
      <c r="E1" s="417"/>
      <c r="F1" s="417"/>
      <c r="G1" s="417"/>
      <c r="H1" s="417"/>
      <c r="I1" s="417"/>
      <c r="J1" s="417"/>
      <c r="K1" s="417"/>
      <c r="L1" s="417"/>
      <c r="M1" s="417"/>
      <c r="N1" s="417"/>
      <c r="O1" s="417"/>
      <c r="P1" s="417"/>
      <c r="Q1" s="417"/>
      <c r="R1" s="417"/>
    </row>
    <row r="2" spans="1:18" ht="17.45" customHeight="1" x14ac:dyDescent="0.2">
      <c r="A2" s="379" t="s">
        <v>1764</v>
      </c>
      <c r="B2" s="380"/>
      <c r="C2" s="380"/>
      <c r="D2" s="380"/>
      <c r="E2" s="380"/>
      <c r="F2" s="380"/>
      <c r="G2" s="380"/>
      <c r="H2" s="380"/>
      <c r="I2" s="380"/>
      <c r="J2" s="380"/>
      <c r="K2" s="381"/>
      <c r="L2" s="381"/>
      <c r="M2" s="381"/>
      <c r="N2" s="381"/>
      <c r="O2" s="381"/>
      <c r="P2" s="381"/>
      <c r="Q2" s="381"/>
      <c r="R2" s="418"/>
    </row>
    <row r="3" spans="1:18" ht="17.45" customHeight="1" x14ac:dyDescent="0.2">
      <c r="A3" s="419" t="s">
        <v>1805</v>
      </c>
      <c r="B3" s="420"/>
      <c r="C3" s="420"/>
      <c r="D3" s="420"/>
      <c r="E3" s="420"/>
      <c r="F3" s="420"/>
      <c r="G3" s="420"/>
      <c r="H3" s="420"/>
      <c r="I3" s="420"/>
      <c r="J3" s="420"/>
      <c r="K3" s="421"/>
      <c r="L3" s="421"/>
      <c r="M3" s="421"/>
      <c r="N3" s="421"/>
      <c r="O3" s="421"/>
      <c r="P3" s="421"/>
      <c r="Q3" s="421"/>
      <c r="R3" s="422"/>
    </row>
    <row r="4" spans="1:18" ht="9.9499999999999993" customHeight="1" x14ac:dyDescent="0.2">
      <c r="A4" s="175"/>
      <c r="B4" s="175"/>
      <c r="C4" s="175"/>
      <c r="D4" s="175"/>
      <c r="E4" s="175"/>
      <c r="F4" s="175"/>
      <c r="G4" s="175"/>
      <c r="H4" s="175"/>
      <c r="I4" s="175"/>
      <c r="J4" s="175"/>
      <c r="K4" s="176"/>
      <c r="L4" s="176"/>
      <c r="M4" s="176"/>
      <c r="N4" s="176"/>
      <c r="O4" s="176"/>
      <c r="P4" s="176"/>
      <c r="Q4" s="176"/>
      <c r="R4" s="177"/>
    </row>
    <row r="5" spans="1:18" ht="28.5" customHeight="1" x14ac:dyDescent="0.2">
      <c r="A5" s="70" t="s">
        <v>42</v>
      </c>
      <c r="B5" s="70" t="s">
        <v>1253</v>
      </c>
      <c r="C5" s="142" t="s">
        <v>1254</v>
      </c>
      <c r="D5" s="70" t="s">
        <v>1368</v>
      </c>
      <c r="E5" s="70" t="s">
        <v>34</v>
      </c>
      <c r="F5" s="70" t="s">
        <v>35</v>
      </c>
      <c r="G5" s="70" t="s">
        <v>73</v>
      </c>
      <c r="H5" s="70" t="s">
        <v>74</v>
      </c>
      <c r="I5" s="70" t="s">
        <v>75</v>
      </c>
      <c r="J5" s="70" t="s">
        <v>76</v>
      </c>
      <c r="K5" s="70" t="s">
        <v>404</v>
      </c>
      <c r="L5" s="70" t="s">
        <v>405</v>
      </c>
      <c r="M5" s="70" t="s">
        <v>406</v>
      </c>
      <c r="N5" s="70" t="s">
        <v>407</v>
      </c>
      <c r="O5" s="70" t="s">
        <v>408</v>
      </c>
      <c r="P5" s="70" t="s">
        <v>409</v>
      </c>
      <c r="Q5" s="70" t="s">
        <v>410</v>
      </c>
      <c r="R5" s="70" t="s">
        <v>411</v>
      </c>
    </row>
    <row r="6" spans="1:18" ht="28.5" customHeight="1" x14ac:dyDescent="0.2">
      <c r="A6" s="123" t="s">
        <v>2013</v>
      </c>
      <c r="B6" s="123" t="s">
        <v>0</v>
      </c>
      <c r="C6" s="124" t="s">
        <v>1631</v>
      </c>
      <c r="D6" s="123" t="s">
        <v>0</v>
      </c>
      <c r="E6" s="122" t="str">
        <f ca="1">INDIRECT("Data!$H"&amp;COLUMN()-3)</f>
        <v>Apeos C325z</v>
      </c>
      <c r="F6" s="122" t="str">
        <f t="shared" ref="F6:R6" ca="1" si="0">INDIRECT("Data!$H"&amp;COLUMN()-3)</f>
        <v>ApeosPort C2060</v>
      </c>
      <c r="G6" s="122" t="str">
        <f t="shared" ca="1" si="0"/>
        <v>ApeosPort-VII C3321</v>
      </c>
      <c r="H6" s="122" t="str">
        <f t="shared" ca="1" si="0"/>
        <v>Apeos C3070</v>
      </c>
      <c r="I6" s="122" t="str">
        <f t="shared" ca="1" si="0"/>
        <v>Apeos C3570</v>
      </c>
      <c r="J6" s="122" t="str">
        <f t="shared" ca="1" si="0"/>
        <v>Apeos C3070-4F</v>
      </c>
      <c r="K6" s="122" t="str">
        <f t="shared" ca="1" si="0"/>
        <v>ApeosPort-VII C4421</v>
      </c>
      <c r="L6" s="122" t="str">
        <f t="shared" ca="1" si="0"/>
        <v>Not Offered</v>
      </c>
      <c r="M6" s="122" t="str">
        <f t="shared" ca="1" si="0"/>
        <v>Apeos C4570</v>
      </c>
      <c r="N6" s="122" t="str">
        <f t="shared" ca="1" si="0"/>
        <v>Apeos C5570</v>
      </c>
      <c r="O6" s="122" t="str">
        <f t="shared" ca="1" si="0"/>
        <v>Apeos C6570</v>
      </c>
      <c r="P6" s="122" t="str">
        <f t="shared" ca="1" si="0"/>
        <v>Apeos C7070</v>
      </c>
      <c r="Q6" s="122" t="str">
        <f t="shared" ca="1" si="0"/>
        <v>Apeos C7580</v>
      </c>
      <c r="R6" s="122" t="str">
        <f t="shared" ca="1" si="0"/>
        <v>Apeos C8180</v>
      </c>
    </row>
    <row r="7" spans="1:18" ht="20.100000000000001" customHeight="1" x14ac:dyDescent="0.2">
      <c r="A7" s="130" t="s">
        <v>2013</v>
      </c>
      <c r="B7" s="130" t="s">
        <v>1633</v>
      </c>
      <c r="C7" s="135" t="s">
        <v>1950</v>
      </c>
      <c r="D7" s="131">
        <v>562.1</v>
      </c>
      <c r="E7" s="121" t="s">
        <v>2</v>
      </c>
      <c r="F7" s="152" t="s">
        <v>3</v>
      </c>
      <c r="G7" s="121" t="s">
        <v>3</v>
      </c>
      <c r="H7" s="152" t="s">
        <v>3</v>
      </c>
      <c r="I7" s="121" t="s">
        <v>3</v>
      </c>
      <c r="J7" s="152" t="s">
        <v>3</v>
      </c>
      <c r="K7" s="121" t="s">
        <v>3</v>
      </c>
      <c r="L7" s="152"/>
      <c r="M7" s="121" t="s">
        <v>3</v>
      </c>
      <c r="N7" s="152" t="s">
        <v>3</v>
      </c>
      <c r="O7" s="121" t="s">
        <v>3</v>
      </c>
      <c r="P7" s="152" t="s">
        <v>3</v>
      </c>
      <c r="Q7" s="121" t="s">
        <v>3</v>
      </c>
      <c r="R7" s="152" t="s">
        <v>3</v>
      </c>
    </row>
    <row r="8" spans="1:18" ht="20.100000000000001" customHeight="1" x14ac:dyDescent="0.2">
      <c r="A8" s="130" t="s">
        <v>2013</v>
      </c>
      <c r="B8" s="130" t="s">
        <v>1388</v>
      </c>
      <c r="C8" s="135" t="s">
        <v>1401</v>
      </c>
      <c r="D8" s="131">
        <v>568.70000000000005</v>
      </c>
      <c r="E8" s="121" t="s">
        <v>2</v>
      </c>
      <c r="F8" s="152" t="s">
        <v>3</v>
      </c>
      <c r="G8" s="121" t="s">
        <v>3</v>
      </c>
      <c r="H8" s="152" t="s">
        <v>3</v>
      </c>
      <c r="I8" s="121" t="s">
        <v>3</v>
      </c>
      <c r="J8" s="152" t="s">
        <v>3</v>
      </c>
      <c r="K8" s="121" t="s">
        <v>3</v>
      </c>
      <c r="L8" s="152"/>
      <c r="M8" s="121" t="s">
        <v>3</v>
      </c>
      <c r="N8" s="152" t="s">
        <v>3</v>
      </c>
      <c r="O8" s="121" t="s">
        <v>3</v>
      </c>
      <c r="P8" s="152" t="s">
        <v>3</v>
      </c>
      <c r="Q8" s="121" t="s">
        <v>3</v>
      </c>
      <c r="R8" s="152" t="s">
        <v>3</v>
      </c>
    </row>
    <row r="9" spans="1:18" ht="20.100000000000001" customHeight="1" x14ac:dyDescent="0.2">
      <c r="A9" s="130" t="s">
        <v>2013</v>
      </c>
      <c r="B9" s="130" t="s">
        <v>2289</v>
      </c>
      <c r="C9" s="135" t="s">
        <v>1395</v>
      </c>
      <c r="D9" s="131">
        <v>473</v>
      </c>
      <c r="E9" s="121" t="s">
        <v>3</v>
      </c>
      <c r="F9" s="152" t="s">
        <v>2</v>
      </c>
      <c r="G9" s="121" t="s">
        <v>3</v>
      </c>
      <c r="H9" s="152" t="s">
        <v>3</v>
      </c>
      <c r="I9" s="121" t="s">
        <v>3</v>
      </c>
      <c r="J9" s="152" t="s">
        <v>3</v>
      </c>
      <c r="K9" s="121" t="s">
        <v>3</v>
      </c>
      <c r="L9" s="152"/>
      <c r="M9" s="121" t="s">
        <v>3</v>
      </c>
      <c r="N9" s="152" t="s">
        <v>3</v>
      </c>
      <c r="O9" s="121" t="s">
        <v>3</v>
      </c>
      <c r="P9" s="152" t="s">
        <v>3</v>
      </c>
      <c r="Q9" s="121" t="s">
        <v>3</v>
      </c>
      <c r="R9" s="152" t="s">
        <v>3</v>
      </c>
    </row>
    <row r="10" spans="1:18" ht="20.100000000000001" customHeight="1" x14ac:dyDescent="0.2">
      <c r="A10" s="130" t="s">
        <v>2013</v>
      </c>
      <c r="B10" s="130" t="s">
        <v>2288</v>
      </c>
      <c r="C10" s="135" t="s">
        <v>1951</v>
      </c>
      <c r="D10" s="131">
        <v>528</v>
      </c>
      <c r="E10" s="121" t="s">
        <v>3</v>
      </c>
      <c r="F10" s="152" t="s">
        <v>2</v>
      </c>
      <c r="G10" s="121" t="s">
        <v>3</v>
      </c>
      <c r="H10" s="152" t="s">
        <v>3</v>
      </c>
      <c r="I10" s="121" t="s">
        <v>3</v>
      </c>
      <c r="J10" s="152" t="s">
        <v>3</v>
      </c>
      <c r="K10" s="121" t="s">
        <v>3</v>
      </c>
      <c r="L10" s="152"/>
      <c r="M10" s="121" t="s">
        <v>3</v>
      </c>
      <c r="N10" s="152" t="s">
        <v>3</v>
      </c>
      <c r="O10" s="121" t="s">
        <v>3</v>
      </c>
      <c r="P10" s="152" t="s">
        <v>3</v>
      </c>
      <c r="Q10" s="121" t="s">
        <v>3</v>
      </c>
      <c r="R10" s="152" t="s">
        <v>3</v>
      </c>
    </row>
    <row r="11" spans="1:18" ht="20.100000000000001" customHeight="1" x14ac:dyDescent="0.2">
      <c r="A11" s="130" t="s">
        <v>2013</v>
      </c>
      <c r="B11" s="130" t="s">
        <v>2108</v>
      </c>
      <c r="C11" s="135" t="s">
        <v>1402</v>
      </c>
      <c r="D11" s="131">
        <v>440</v>
      </c>
      <c r="E11" s="121" t="s">
        <v>3</v>
      </c>
      <c r="F11" s="152" t="s">
        <v>2</v>
      </c>
      <c r="G11" s="121" t="s">
        <v>3</v>
      </c>
      <c r="H11" s="152" t="s">
        <v>2</v>
      </c>
      <c r="I11" s="121" t="s">
        <v>2</v>
      </c>
      <c r="J11" s="152" t="s">
        <v>2</v>
      </c>
      <c r="K11" s="121" t="s">
        <v>3</v>
      </c>
      <c r="L11" s="152"/>
      <c r="M11" s="121" t="s">
        <v>2</v>
      </c>
      <c r="N11" s="152" t="s">
        <v>2</v>
      </c>
      <c r="O11" s="121" t="s">
        <v>2</v>
      </c>
      <c r="P11" s="152" t="s">
        <v>2</v>
      </c>
      <c r="Q11" s="121" t="s">
        <v>3</v>
      </c>
      <c r="R11" s="152" t="s">
        <v>3</v>
      </c>
    </row>
    <row r="12" spans="1:18" ht="30" customHeight="1" x14ac:dyDescent="0.2">
      <c r="A12" s="130" t="s">
        <v>2013</v>
      </c>
      <c r="B12" s="132" t="s">
        <v>2361</v>
      </c>
      <c r="C12" s="135" t="s">
        <v>2362</v>
      </c>
      <c r="D12" s="131">
        <v>3358.3</v>
      </c>
      <c r="E12" s="121" t="s">
        <v>3</v>
      </c>
      <c r="F12" s="152" t="s">
        <v>3</v>
      </c>
      <c r="G12" s="121" t="s">
        <v>3</v>
      </c>
      <c r="H12" s="152" t="s">
        <v>3</v>
      </c>
      <c r="I12" s="121" t="s">
        <v>3</v>
      </c>
      <c r="J12" s="152" t="s">
        <v>3</v>
      </c>
      <c r="K12" s="121" t="s">
        <v>3</v>
      </c>
      <c r="L12" s="152"/>
      <c r="M12" s="121" t="s">
        <v>3</v>
      </c>
      <c r="N12" s="152" t="s">
        <v>2</v>
      </c>
      <c r="O12" s="121" t="s">
        <v>3</v>
      </c>
      <c r="P12" s="152" t="s">
        <v>3</v>
      </c>
      <c r="Q12" s="121" t="s">
        <v>2</v>
      </c>
      <c r="R12" s="152" t="s">
        <v>2</v>
      </c>
    </row>
    <row r="13" spans="1:18" ht="30" customHeight="1" x14ac:dyDescent="0.2">
      <c r="A13" s="130" t="s">
        <v>2013</v>
      </c>
      <c r="B13" s="132" t="s">
        <v>2363</v>
      </c>
      <c r="C13" s="135" t="s">
        <v>2364</v>
      </c>
      <c r="D13" s="131">
        <v>1050.5</v>
      </c>
      <c r="E13" s="121" t="s">
        <v>3</v>
      </c>
      <c r="F13" s="152" t="s">
        <v>3</v>
      </c>
      <c r="G13" s="121" t="s">
        <v>3</v>
      </c>
      <c r="H13" s="152" t="s">
        <v>2</v>
      </c>
      <c r="I13" s="121" t="s">
        <v>2</v>
      </c>
      <c r="J13" s="152" t="s">
        <v>2</v>
      </c>
      <c r="K13" s="121" t="s">
        <v>3</v>
      </c>
      <c r="L13" s="152"/>
      <c r="M13" s="121" t="s">
        <v>2</v>
      </c>
      <c r="N13" s="152" t="s">
        <v>2</v>
      </c>
      <c r="O13" s="121" t="s">
        <v>2</v>
      </c>
      <c r="P13" s="152" t="s">
        <v>2</v>
      </c>
      <c r="Q13" s="121" t="s">
        <v>3</v>
      </c>
      <c r="R13" s="152" t="s">
        <v>3</v>
      </c>
    </row>
    <row r="14" spans="1:18" ht="30" customHeight="1" x14ac:dyDescent="0.2">
      <c r="A14" s="130" t="s">
        <v>2013</v>
      </c>
      <c r="B14" s="132" t="s">
        <v>2365</v>
      </c>
      <c r="C14" s="135" t="s">
        <v>2366</v>
      </c>
      <c r="D14" s="131">
        <v>2562</v>
      </c>
      <c r="E14" s="121" t="s">
        <v>3</v>
      </c>
      <c r="F14" s="152" t="s">
        <v>3</v>
      </c>
      <c r="G14" s="121" t="s">
        <v>3</v>
      </c>
      <c r="H14" s="152" t="s">
        <v>2</v>
      </c>
      <c r="I14" s="121" t="s">
        <v>2</v>
      </c>
      <c r="J14" s="152" t="s">
        <v>2</v>
      </c>
      <c r="K14" s="121" t="s">
        <v>3</v>
      </c>
      <c r="L14" s="152"/>
      <c r="M14" s="121" t="s">
        <v>2</v>
      </c>
      <c r="N14" s="152" t="s">
        <v>2</v>
      </c>
      <c r="O14" s="121" t="s">
        <v>2</v>
      </c>
      <c r="P14" s="152" t="s">
        <v>2</v>
      </c>
      <c r="Q14" s="121" t="s">
        <v>3</v>
      </c>
      <c r="R14" s="152" t="s">
        <v>3</v>
      </c>
    </row>
    <row r="15" spans="1:18" ht="30" customHeight="1" x14ac:dyDescent="0.2">
      <c r="A15" s="130" t="s">
        <v>2013</v>
      </c>
      <c r="B15" s="132" t="s">
        <v>2367</v>
      </c>
      <c r="C15" s="135" t="s">
        <v>2368</v>
      </c>
      <c r="D15" s="131">
        <v>2471</v>
      </c>
      <c r="E15" s="121" t="s">
        <v>3</v>
      </c>
      <c r="F15" s="152" t="s">
        <v>3</v>
      </c>
      <c r="G15" s="121" t="s">
        <v>3</v>
      </c>
      <c r="H15" s="152" t="s">
        <v>3</v>
      </c>
      <c r="I15" s="121" t="s">
        <v>3</v>
      </c>
      <c r="J15" s="152" t="s">
        <v>3</v>
      </c>
      <c r="K15" s="121" t="s">
        <v>3</v>
      </c>
      <c r="L15" s="152"/>
      <c r="M15" s="121" t="s">
        <v>3</v>
      </c>
      <c r="N15" s="152" t="s">
        <v>3</v>
      </c>
      <c r="O15" s="121" t="s">
        <v>3</v>
      </c>
      <c r="P15" s="152" t="s">
        <v>3</v>
      </c>
      <c r="Q15" s="121" t="s">
        <v>2</v>
      </c>
      <c r="R15" s="152" t="s">
        <v>2</v>
      </c>
    </row>
    <row r="16" spans="1:18" ht="30" customHeight="1" x14ac:dyDescent="0.2">
      <c r="A16" s="130" t="s">
        <v>2013</v>
      </c>
      <c r="B16" s="132" t="s">
        <v>2369</v>
      </c>
      <c r="C16" s="135" t="s">
        <v>2370</v>
      </c>
      <c r="D16" s="131">
        <v>5495</v>
      </c>
      <c r="E16" s="121" t="s">
        <v>3</v>
      </c>
      <c r="F16" s="152" t="s">
        <v>3</v>
      </c>
      <c r="G16" s="121" t="s">
        <v>3</v>
      </c>
      <c r="H16" s="152" t="s">
        <v>3</v>
      </c>
      <c r="I16" s="121" t="s">
        <v>3</v>
      </c>
      <c r="J16" s="152" t="s">
        <v>3</v>
      </c>
      <c r="K16" s="121" t="s">
        <v>3</v>
      </c>
      <c r="L16" s="152"/>
      <c r="M16" s="121" t="s">
        <v>3</v>
      </c>
      <c r="N16" s="152" t="s">
        <v>3</v>
      </c>
      <c r="O16" s="121" t="s">
        <v>3</v>
      </c>
      <c r="P16" s="152" t="s">
        <v>3</v>
      </c>
      <c r="Q16" s="121" t="s">
        <v>2</v>
      </c>
      <c r="R16" s="152" t="s">
        <v>2</v>
      </c>
    </row>
    <row r="17" spans="1:18" ht="30" customHeight="1" x14ac:dyDescent="0.2">
      <c r="A17" s="130" t="s">
        <v>2013</v>
      </c>
      <c r="B17" s="132" t="s">
        <v>2371</v>
      </c>
      <c r="C17" s="135" t="s">
        <v>2372</v>
      </c>
      <c r="D17" s="131">
        <v>1290</v>
      </c>
      <c r="E17" s="121" t="s">
        <v>3</v>
      </c>
      <c r="F17" s="152" t="s">
        <v>3</v>
      </c>
      <c r="G17" s="121" t="s">
        <v>3</v>
      </c>
      <c r="H17" s="152" t="s">
        <v>2</v>
      </c>
      <c r="I17" s="121" t="s">
        <v>2</v>
      </c>
      <c r="J17" s="152" t="s">
        <v>2</v>
      </c>
      <c r="K17" s="121" t="s">
        <v>3</v>
      </c>
      <c r="L17" s="152"/>
      <c r="M17" s="121" t="s">
        <v>2</v>
      </c>
      <c r="N17" s="152" t="s">
        <v>2</v>
      </c>
      <c r="O17" s="121" t="s">
        <v>2</v>
      </c>
      <c r="P17" s="152" t="s">
        <v>2</v>
      </c>
      <c r="Q17" s="121" t="s">
        <v>3</v>
      </c>
      <c r="R17" s="152" t="s">
        <v>3</v>
      </c>
    </row>
    <row r="18" spans="1:18" ht="30" customHeight="1" x14ac:dyDescent="0.2">
      <c r="A18" s="130" t="s">
        <v>2013</v>
      </c>
      <c r="B18" s="132" t="s">
        <v>2373</v>
      </c>
      <c r="C18" s="135" t="s">
        <v>2374</v>
      </c>
      <c r="D18" s="131">
        <v>1808</v>
      </c>
      <c r="E18" s="121" t="s">
        <v>3</v>
      </c>
      <c r="F18" s="152" t="s">
        <v>3</v>
      </c>
      <c r="G18" s="121" t="s">
        <v>3</v>
      </c>
      <c r="H18" s="152" t="s">
        <v>2</v>
      </c>
      <c r="I18" s="121" t="s">
        <v>2</v>
      </c>
      <c r="J18" s="152" t="s">
        <v>2</v>
      </c>
      <c r="K18" s="121" t="s">
        <v>3</v>
      </c>
      <c r="L18" s="152"/>
      <c r="M18" s="121" t="s">
        <v>2</v>
      </c>
      <c r="N18" s="152" t="s">
        <v>2</v>
      </c>
      <c r="O18" s="121" t="s">
        <v>2</v>
      </c>
      <c r="P18" s="152" t="s">
        <v>2</v>
      </c>
      <c r="Q18" s="121" t="s">
        <v>3</v>
      </c>
      <c r="R18" s="152" t="s">
        <v>3</v>
      </c>
    </row>
    <row r="19" spans="1:18" ht="30" customHeight="1" x14ac:dyDescent="0.2">
      <c r="A19" s="130" t="s">
        <v>2013</v>
      </c>
      <c r="B19" s="132" t="s">
        <v>2109</v>
      </c>
      <c r="C19" s="135" t="s">
        <v>1403</v>
      </c>
      <c r="D19" s="131">
        <v>642.4</v>
      </c>
      <c r="E19" s="121" t="s">
        <v>3</v>
      </c>
      <c r="F19" s="152" t="s">
        <v>3</v>
      </c>
      <c r="G19" s="121" t="s">
        <v>3</v>
      </c>
      <c r="H19" s="152" t="s">
        <v>2</v>
      </c>
      <c r="I19" s="121" t="s">
        <v>2</v>
      </c>
      <c r="J19" s="152" t="s">
        <v>2</v>
      </c>
      <c r="K19" s="121" t="s">
        <v>3</v>
      </c>
      <c r="L19" s="152"/>
      <c r="M19" s="121" t="s">
        <v>2</v>
      </c>
      <c r="N19" s="152" t="s">
        <v>2</v>
      </c>
      <c r="O19" s="121" t="s">
        <v>2</v>
      </c>
      <c r="P19" s="152" t="s">
        <v>2</v>
      </c>
      <c r="Q19" s="121" t="s">
        <v>3</v>
      </c>
      <c r="R19" s="152" t="s">
        <v>3</v>
      </c>
    </row>
    <row r="20" spans="1:18" ht="30" customHeight="1" x14ac:dyDescent="0.2">
      <c r="A20" s="130" t="s">
        <v>2013</v>
      </c>
      <c r="B20" s="132" t="s">
        <v>2110</v>
      </c>
      <c r="C20" s="135" t="s">
        <v>2375</v>
      </c>
      <c r="D20" s="131">
        <v>440</v>
      </c>
      <c r="E20" s="121" t="s">
        <v>3</v>
      </c>
      <c r="F20" s="152" t="s">
        <v>3</v>
      </c>
      <c r="G20" s="121" t="s">
        <v>3</v>
      </c>
      <c r="H20" s="152" t="s">
        <v>2</v>
      </c>
      <c r="I20" s="121" t="s">
        <v>2</v>
      </c>
      <c r="J20" s="152" t="s">
        <v>2</v>
      </c>
      <c r="K20" s="121" t="s">
        <v>3</v>
      </c>
      <c r="L20" s="152"/>
      <c r="M20" s="121" t="s">
        <v>2</v>
      </c>
      <c r="N20" s="152" t="s">
        <v>2</v>
      </c>
      <c r="O20" s="121" t="s">
        <v>2</v>
      </c>
      <c r="P20" s="152" t="s">
        <v>2</v>
      </c>
      <c r="Q20" s="121" t="s">
        <v>3</v>
      </c>
      <c r="R20" s="152" t="s">
        <v>3</v>
      </c>
    </row>
    <row r="21" spans="1:18" ht="30" customHeight="1" x14ac:dyDescent="0.2">
      <c r="A21" s="130" t="s">
        <v>2013</v>
      </c>
      <c r="B21" s="132" t="s">
        <v>1389</v>
      </c>
      <c r="C21" s="135" t="s">
        <v>1404</v>
      </c>
      <c r="D21" s="131">
        <v>0</v>
      </c>
      <c r="E21" s="121" t="s">
        <v>1762</v>
      </c>
      <c r="F21" s="152" t="s">
        <v>1762</v>
      </c>
      <c r="G21" s="121" t="s">
        <v>1762</v>
      </c>
      <c r="H21" s="152" t="s">
        <v>1762</v>
      </c>
      <c r="I21" s="121" t="s">
        <v>1762</v>
      </c>
      <c r="J21" s="152" t="s">
        <v>1762</v>
      </c>
      <c r="K21" s="121" t="s">
        <v>1762</v>
      </c>
      <c r="L21" s="152"/>
      <c r="M21" s="121" t="s">
        <v>1762</v>
      </c>
      <c r="N21" s="152" t="s">
        <v>1762</v>
      </c>
      <c r="O21" s="121" t="s">
        <v>1762</v>
      </c>
      <c r="P21" s="152" t="s">
        <v>1762</v>
      </c>
      <c r="Q21" s="121" t="s">
        <v>1762</v>
      </c>
      <c r="R21" s="152" t="s">
        <v>1762</v>
      </c>
    </row>
    <row r="22" spans="1:18" ht="30" customHeight="1" x14ac:dyDescent="0.2">
      <c r="A22" s="130" t="s">
        <v>2013</v>
      </c>
      <c r="B22" s="132" t="s">
        <v>1390</v>
      </c>
      <c r="C22" s="135" t="s">
        <v>1635</v>
      </c>
      <c r="D22" s="131">
        <v>0</v>
      </c>
      <c r="E22" s="121" t="s">
        <v>3</v>
      </c>
      <c r="F22" s="152" t="s">
        <v>1762</v>
      </c>
      <c r="G22" s="121" t="s">
        <v>1762</v>
      </c>
      <c r="H22" s="152" t="s">
        <v>1762</v>
      </c>
      <c r="I22" s="121" t="s">
        <v>1762</v>
      </c>
      <c r="J22" s="152" t="s">
        <v>1762</v>
      </c>
      <c r="K22" s="121" t="s">
        <v>1762</v>
      </c>
      <c r="L22" s="152"/>
      <c r="M22" s="121" t="s">
        <v>1762</v>
      </c>
      <c r="N22" s="152" t="s">
        <v>1762</v>
      </c>
      <c r="O22" s="121" t="s">
        <v>1762</v>
      </c>
      <c r="P22" s="152" t="s">
        <v>1762</v>
      </c>
      <c r="Q22" s="121" t="s">
        <v>1762</v>
      </c>
      <c r="R22" s="152" t="s">
        <v>1762</v>
      </c>
    </row>
    <row r="23" spans="1:18" ht="20.100000000000001" customHeight="1" x14ac:dyDescent="0.2">
      <c r="A23" s="130" t="s">
        <v>2013</v>
      </c>
      <c r="B23" s="132" t="s">
        <v>1391</v>
      </c>
      <c r="C23" s="135" t="s">
        <v>1405</v>
      </c>
      <c r="D23" s="131">
        <v>0</v>
      </c>
      <c r="E23" s="121" t="s">
        <v>1762</v>
      </c>
      <c r="F23" s="152" t="s">
        <v>1762</v>
      </c>
      <c r="G23" s="121" t="s">
        <v>1762</v>
      </c>
      <c r="H23" s="152" t="s">
        <v>1762</v>
      </c>
      <c r="I23" s="121" t="s">
        <v>1762</v>
      </c>
      <c r="J23" s="152" t="s">
        <v>1762</v>
      </c>
      <c r="K23" s="121" t="s">
        <v>1762</v>
      </c>
      <c r="L23" s="152"/>
      <c r="M23" s="121" t="s">
        <v>1762</v>
      </c>
      <c r="N23" s="152" t="s">
        <v>1762</v>
      </c>
      <c r="O23" s="121" t="s">
        <v>1762</v>
      </c>
      <c r="P23" s="152" t="s">
        <v>1762</v>
      </c>
      <c r="Q23" s="121" t="s">
        <v>1762</v>
      </c>
      <c r="R23" s="152" t="s">
        <v>1762</v>
      </c>
    </row>
    <row r="24" spans="1:18" ht="20.100000000000001" customHeight="1" x14ac:dyDescent="0.2">
      <c r="A24" s="130" t="s">
        <v>2013</v>
      </c>
      <c r="B24" s="132" t="s">
        <v>1392</v>
      </c>
      <c r="C24" s="135" t="s">
        <v>1406</v>
      </c>
      <c r="D24" s="131">
        <v>275</v>
      </c>
      <c r="E24" s="121" t="s">
        <v>2</v>
      </c>
      <c r="F24" s="152" t="s">
        <v>2</v>
      </c>
      <c r="G24" s="121" t="s">
        <v>2</v>
      </c>
      <c r="H24" s="152" t="s">
        <v>2</v>
      </c>
      <c r="I24" s="121" t="s">
        <v>2</v>
      </c>
      <c r="J24" s="152" t="s">
        <v>2</v>
      </c>
      <c r="K24" s="121" t="s">
        <v>2</v>
      </c>
      <c r="L24" s="152"/>
      <c r="M24" s="121" t="s">
        <v>2</v>
      </c>
      <c r="N24" s="152" t="s">
        <v>2</v>
      </c>
      <c r="O24" s="121" t="s">
        <v>2</v>
      </c>
      <c r="P24" s="152" t="s">
        <v>2</v>
      </c>
      <c r="Q24" s="121" t="s">
        <v>2</v>
      </c>
      <c r="R24" s="152" t="s">
        <v>2</v>
      </c>
    </row>
    <row r="25" spans="1:18" ht="20.100000000000001" customHeight="1" x14ac:dyDescent="0.2">
      <c r="A25" s="130" t="s">
        <v>2013</v>
      </c>
      <c r="B25" s="132" t="s">
        <v>1393</v>
      </c>
      <c r="C25" s="135" t="s">
        <v>1407</v>
      </c>
      <c r="D25" s="131">
        <v>0</v>
      </c>
      <c r="E25" s="121" t="s">
        <v>1762</v>
      </c>
      <c r="F25" s="152" t="s">
        <v>1762</v>
      </c>
      <c r="G25" s="121" t="s">
        <v>1762</v>
      </c>
      <c r="H25" s="152" t="s">
        <v>1762</v>
      </c>
      <c r="I25" s="121" t="s">
        <v>1762</v>
      </c>
      <c r="J25" s="152" t="s">
        <v>1762</v>
      </c>
      <c r="K25" s="121" t="s">
        <v>1762</v>
      </c>
      <c r="L25" s="152"/>
      <c r="M25" s="121" t="s">
        <v>1762</v>
      </c>
      <c r="N25" s="152" t="s">
        <v>1762</v>
      </c>
      <c r="O25" s="121" t="s">
        <v>1762</v>
      </c>
      <c r="P25" s="152" t="s">
        <v>1762</v>
      </c>
      <c r="Q25" s="121" t="s">
        <v>1762</v>
      </c>
      <c r="R25" s="152" t="s">
        <v>1762</v>
      </c>
    </row>
    <row r="26" spans="1:18" ht="20.100000000000001" customHeight="1" x14ac:dyDescent="0.2">
      <c r="A26" s="130" t="s">
        <v>2013</v>
      </c>
      <c r="B26" s="132" t="s">
        <v>2376</v>
      </c>
      <c r="C26" s="135" t="s">
        <v>1408</v>
      </c>
      <c r="D26" s="131">
        <v>880</v>
      </c>
      <c r="E26" s="121" t="s">
        <v>3</v>
      </c>
      <c r="F26" s="152" t="s">
        <v>3</v>
      </c>
      <c r="G26" s="121" t="s">
        <v>3</v>
      </c>
      <c r="H26" s="152" t="s">
        <v>2</v>
      </c>
      <c r="I26" s="121" t="s">
        <v>2</v>
      </c>
      <c r="J26" s="152" t="s">
        <v>2</v>
      </c>
      <c r="K26" s="121" t="s">
        <v>3</v>
      </c>
      <c r="L26" s="152"/>
      <c r="M26" s="121" t="s">
        <v>2</v>
      </c>
      <c r="N26" s="152" t="s">
        <v>2</v>
      </c>
      <c r="O26" s="121" t="s">
        <v>2</v>
      </c>
      <c r="P26" s="152" t="s">
        <v>2</v>
      </c>
      <c r="Q26" s="121" t="s">
        <v>3</v>
      </c>
      <c r="R26" s="152" t="s">
        <v>3</v>
      </c>
    </row>
    <row r="27" spans="1:18" ht="20.100000000000001" customHeight="1" x14ac:dyDescent="0.2">
      <c r="A27" s="130" t="s">
        <v>2013</v>
      </c>
      <c r="B27" s="132" t="s">
        <v>2377</v>
      </c>
      <c r="C27" s="135" t="s">
        <v>1398</v>
      </c>
      <c r="D27" s="131">
        <v>440</v>
      </c>
      <c r="E27" s="121" t="s">
        <v>3</v>
      </c>
      <c r="F27" s="152" t="s">
        <v>3</v>
      </c>
      <c r="G27" s="121" t="s">
        <v>3</v>
      </c>
      <c r="H27" s="152" t="s">
        <v>3</v>
      </c>
      <c r="I27" s="121" t="s">
        <v>2</v>
      </c>
      <c r="J27" s="152" t="s">
        <v>2</v>
      </c>
      <c r="K27" s="121" t="s">
        <v>3</v>
      </c>
      <c r="L27" s="152"/>
      <c r="M27" s="121" t="s">
        <v>2</v>
      </c>
      <c r="N27" s="152" t="s">
        <v>2</v>
      </c>
      <c r="O27" s="121" t="s">
        <v>2</v>
      </c>
      <c r="P27" s="152" t="s">
        <v>2</v>
      </c>
      <c r="Q27" s="121" t="s">
        <v>3</v>
      </c>
      <c r="R27" s="152" t="s">
        <v>3</v>
      </c>
    </row>
    <row r="28" spans="1:18" ht="20.100000000000001" customHeight="1" x14ac:dyDescent="0.2">
      <c r="A28" s="130" t="s">
        <v>2013</v>
      </c>
      <c r="B28" s="132" t="s">
        <v>2378</v>
      </c>
      <c r="C28" s="135" t="s">
        <v>1398</v>
      </c>
      <c r="D28" s="131">
        <v>357</v>
      </c>
      <c r="E28" s="121" t="s">
        <v>3</v>
      </c>
      <c r="F28" s="152" t="s">
        <v>3</v>
      </c>
      <c r="G28" s="121" t="s">
        <v>2</v>
      </c>
      <c r="H28" s="152" t="s">
        <v>3</v>
      </c>
      <c r="I28" s="121" t="s">
        <v>3</v>
      </c>
      <c r="J28" s="152" t="s">
        <v>3</v>
      </c>
      <c r="K28" s="121" t="s">
        <v>2</v>
      </c>
      <c r="L28" s="152"/>
      <c r="M28" s="121" t="s">
        <v>3</v>
      </c>
      <c r="N28" s="152" t="s">
        <v>3</v>
      </c>
      <c r="O28" s="121" t="s">
        <v>3</v>
      </c>
      <c r="P28" s="152" t="s">
        <v>3</v>
      </c>
      <c r="Q28" s="121" t="s">
        <v>3</v>
      </c>
      <c r="R28" s="152" t="s">
        <v>3</v>
      </c>
    </row>
    <row r="29" spans="1:18" ht="20.100000000000001" customHeight="1" x14ac:dyDescent="0.2">
      <c r="A29" s="130" t="s">
        <v>2013</v>
      </c>
      <c r="B29" s="132" t="s">
        <v>2379</v>
      </c>
      <c r="C29" s="135" t="s">
        <v>1952</v>
      </c>
      <c r="D29" s="131">
        <v>220</v>
      </c>
      <c r="E29" s="121" t="s">
        <v>3</v>
      </c>
      <c r="F29" s="152" t="s">
        <v>3</v>
      </c>
      <c r="G29" s="121" t="s">
        <v>3</v>
      </c>
      <c r="H29" s="152" t="s">
        <v>2</v>
      </c>
      <c r="I29" s="121" t="s">
        <v>2</v>
      </c>
      <c r="J29" s="152" t="s">
        <v>2</v>
      </c>
      <c r="K29" s="121" t="s">
        <v>3</v>
      </c>
      <c r="L29" s="152"/>
      <c r="M29" s="121" t="s">
        <v>2</v>
      </c>
      <c r="N29" s="152" t="s">
        <v>2</v>
      </c>
      <c r="O29" s="121" t="s">
        <v>2</v>
      </c>
      <c r="P29" s="152" t="s">
        <v>2</v>
      </c>
      <c r="Q29" s="121" t="s">
        <v>3</v>
      </c>
      <c r="R29" s="152" t="s">
        <v>3</v>
      </c>
    </row>
    <row r="30" spans="1:18" ht="20.100000000000001" customHeight="1" x14ac:dyDescent="0.2">
      <c r="A30" s="130" t="s">
        <v>2013</v>
      </c>
      <c r="B30" s="132" t="s">
        <v>2380</v>
      </c>
      <c r="C30" s="135" t="s">
        <v>1953</v>
      </c>
      <c r="D30" s="131">
        <v>308</v>
      </c>
      <c r="E30" s="121" t="s">
        <v>3</v>
      </c>
      <c r="F30" s="152" t="s">
        <v>3</v>
      </c>
      <c r="G30" s="121" t="s">
        <v>3</v>
      </c>
      <c r="H30" s="152" t="s">
        <v>2</v>
      </c>
      <c r="I30" s="121" t="s">
        <v>2</v>
      </c>
      <c r="J30" s="152" t="s">
        <v>2</v>
      </c>
      <c r="K30" s="121" t="s">
        <v>3</v>
      </c>
      <c r="L30" s="152"/>
      <c r="M30" s="121" t="s">
        <v>2</v>
      </c>
      <c r="N30" s="152" t="s">
        <v>2</v>
      </c>
      <c r="O30" s="121" t="s">
        <v>2</v>
      </c>
      <c r="P30" s="152" t="s">
        <v>2</v>
      </c>
      <c r="Q30" s="121" t="s">
        <v>3</v>
      </c>
      <c r="R30" s="152" t="s">
        <v>3</v>
      </c>
    </row>
    <row r="31" spans="1:18" ht="30" customHeight="1" x14ac:dyDescent="0.2">
      <c r="A31" s="130" t="s">
        <v>2013</v>
      </c>
      <c r="B31" s="132" t="s">
        <v>2381</v>
      </c>
      <c r="C31" s="135" t="s">
        <v>1954</v>
      </c>
      <c r="D31" s="131">
        <v>114.4</v>
      </c>
      <c r="E31" s="121" t="s">
        <v>3</v>
      </c>
      <c r="F31" s="152" t="s">
        <v>3</v>
      </c>
      <c r="G31" s="121" t="s">
        <v>3</v>
      </c>
      <c r="H31" s="152" t="s">
        <v>2</v>
      </c>
      <c r="I31" s="121" t="s">
        <v>2</v>
      </c>
      <c r="J31" s="152" t="s">
        <v>2</v>
      </c>
      <c r="K31" s="121" t="s">
        <v>3</v>
      </c>
      <c r="L31" s="152"/>
      <c r="M31" s="121" t="s">
        <v>2</v>
      </c>
      <c r="N31" s="152" t="s">
        <v>2</v>
      </c>
      <c r="O31" s="121" t="s">
        <v>2</v>
      </c>
      <c r="P31" s="152" t="s">
        <v>2</v>
      </c>
      <c r="Q31" s="121" t="s">
        <v>3</v>
      </c>
      <c r="R31" s="152" t="s">
        <v>3</v>
      </c>
    </row>
    <row r="32" spans="1:18" ht="20.100000000000001" customHeight="1" x14ac:dyDescent="0.2">
      <c r="A32" s="130" t="s">
        <v>2013</v>
      </c>
      <c r="B32" s="132" t="s">
        <v>2382</v>
      </c>
      <c r="C32" s="135" t="s">
        <v>1636</v>
      </c>
      <c r="D32" s="131">
        <v>93.5</v>
      </c>
      <c r="E32" s="121" t="s">
        <v>3</v>
      </c>
      <c r="F32" s="152" t="s">
        <v>3</v>
      </c>
      <c r="G32" s="121" t="s">
        <v>3</v>
      </c>
      <c r="H32" s="152" t="s">
        <v>2</v>
      </c>
      <c r="I32" s="121" t="s">
        <v>2</v>
      </c>
      <c r="J32" s="152" t="s">
        <v>2</v>
      </c>
      <c r="K32" s="121" t="s">
        <v>3</v>
      </c>
      <c r="L32" s="152"/>
      <c r="M32" s="121" t="s">
        <v>2</v>
      </c>
      <c r="N32" s="152" t="s">
        <v>2</v>
      </c>
      <c r="O32" s="121" t="s">
        <v>2</v>
      </c>
      <c r="P32" s="152" t="s">
        <v>2</v>
      </c>
      <c r="Q32" s="121" t="s">
        <v>3</v>
      </c>
      <c r="R32" s="152" t="s">
        <v>3</v>
      </c>
    </row>
    <row r="33" spans="1:18" ht="20.100000000000001" customHeight="1" x14ac:dyDescent="0.2">
      <c r="A33" s="130" t="s">
        <v>2013</v>
      </c>
      <c r="B33" s="132" t="s">
        <v>2383</v>
      </c>
      <c r="C33" s="135" t="s">
        <v>1409</v>
      </c>
      <c r="D33" s="131">
        <v>405</v>
      </c>
      <c r="E33" s="121" t="s">
        <v>3</v>
      </c>
      <c r="F33" s="152" t="s">
        <v>3</v>
      </c>
      <c r="G33" s="121" t="s">
        <v>2</v>
      </c>
      <c r="H33" s="152" t="s">
        <v>3</v>
      </c>
      <c r="I33" s="121" t="s">
        <v>3</v>
      </c>
      <c r="J33" s="152" t="s">
        <v>3</v>
      </c>
      <c r="K33" s="121" t="s">
        <v>2</v>
      </c>
      <c r="L33" s="152"/>
      <c r="M33" s="121" t="s">
        <v>3</v>
      </c>
      <c r="N33" s="152" t="s">
        <v>3</v>
      </c>
      <c r="O33" s="121" t="s">
        <v>3</v>
      </c>
      <c r="P33" s="152" t="s">
        <v>3</v>
      </c>
      <c r="Q33" s="121" t="s">
        <v>3</v>
      </c>
      <c r="R33" s="152" t="s">
        <v>3</v>
      </c>
    </row>
    <row r="34" spans="1:18" ht="30" customHeight="1" x14ac:dyDescent="0.2">
      <c r="A34" s="123" t="s">
        <v>10</v>
      </c>
      <c r="B34" s="123" t="s">
        <v>0</v>
      </c>
      <c r="C34" s="124" t="s">
        <v>906</v>
      </c>
      <c r="D34" s="123" t="s">
        <v>0</v>
      </c>
      <c r="E34" s="122" t="str">
        <f ca="1">INDIRECT("Data!$H"&amp;COLUMN()+11)</f>
        <v>bizhub C227i</v>
      </c>
      <c r="F34" s="122" t="str">
        <f t="shared" ref="F34:R34" ca="1" si="1">INDIRECT("Data!$H"&amp;COLUMN()+11)</f>
        <v>bizhub C250i</v>
      </c>
      <c r="G34" s="122" t="str">
        <f t="shared" ca="1" si="1"/>
        <v>bizhub C300i</v>
      </c>
      <c r="H34" s="122" t="str">
        <f t="shared" ca="1" si="1"/>
        <v>bizhub C360i</v>
      </c>
      <c r="I34" s="122" t="str">
        <f t="shared" ca="1" si="1"/>
        <v>bizhub C3321i</v>
      </c>
      <c r="J34" s="122" t="str">
        <f t="shared" ca="1" si="1"/>
        <v>bizhub C3351i</v>
      </c>
      <c r="K34" s="122" t="str">
        <f t="shared" ca="1" si="1"/>
        <v>bizhub C450i</v>
      </c>
      <c r="L34" s="122" t="str">
        <f t="shared" ca="1" si="1"/>
        <v>bizhub C550i</v>
      </c>
      <c r="M34" s="122" t="str">
        <f t="shared" ca="1" si="1"/>
        <v>bizhub C4051i</v>
      </c>
      <c r="N34" s="122" t="str">
        <f t="shared" ca="1" si="1"/>
        <v>Not Offered</v>
      </c>
      <c r="O34" s="122" t="str">
        <f t="shared" ca="1" si="1"/>
        <v>bizhub C650i</v>
      </c>
      <c r="P34" s="122" t="str">
        <f t="shared" ca="1" si="1"/>
        <v>Not Offered</v>
      </c>
      <c r="Q34" s="122" t="str">
        <f t="shared" ca="1" si="1"/>
        <v>bizhub C750i</v>
      </c>
      <c r="R34" s="122" t="str">
        <f t="shared" ca="1" si="1"/>
        <v>Not Offered</v>
      </c>
    </row>
    <row r="35" spans="1:18" ht="20.100000000000001" customHeight="1" x14ac:dyDescent="0.2">
      <c r="A35" s="130" t="s">
        <v>10</v>
      </c>
      <c r="B35" s="130" t="s">
        <v>1410</v>
      </c>
      <c r="C35" s="135" t="s">
        <v>1411</v>
      </c>
      <c r="D35" s="285">
        <v>108.28400000000001</v>
      </c>
      <c r="E35" s="121" t="s">
        <v>3</v>
      </c>
      <c r="F35" s="152" t="s">
        <v>3</v>
      </c>
      <c r="G35" s="121" t="s">
        <v>3</v>
      </c>
      <c r="H35" s="152" t="s">
        <v>3</v>
      </c>
      <c r="I35" s="121" t="s">
        <v>3</v>
      </c>
      <c r="J35" s="152" t="s">
        <v>3</v>
      </c>
      <c r="K35" s="121" t="s">
        <v>3</v>
      </c>
      <c r="L35" s="152" t="s">
        <v>3</v>
      </c>
      <c r="M35" s="121" t="s">
        <v>3</v>
      </c>
      <c r="N35" s="152"/>
      <c r="O35" s="121" t="s">
        <v>3</v>
      </c>
      <c r="P35" s="152"/>
      <c r="Q35" s="121" t="s">
        <v>3</v>
      </c>
      <c r="R35" s="152"/>
    </row>
    <row r="36" spans="1:18" ht="20.100000000000001" customHeight="1" x14ac:dyDescent="0.2">
      <c r="A36" s="130" t="s">
        <v>10</v>
      </c>
      <c r="B36" s="132" t="s">
        <v>1412</v>
      </c>
      <c r="C36" s="135" t="s">
        <v>1413</v>
      </c>
      <c r="D36" s="285">
        <v>42.372000000000007</v>
      </c>
      <c r="E36" s="121" t="s">
        <v>3</v>
      </c>
      <c r="F36" s="152" t="s">
        <v>3</v>
      </c>
      <c r="G36" s="121" t="s">
        <v>3</v>
      </c>
      <c r="H36" s="152" t="s">
        <v>3</v>
      </c>
      <c r="I36" s="121" t="s">
        <v>2</v>
      </c>
      <c r="J36" s="152" t="s">
        <v>2</v>
      </c>
      <c r="K36" s="121" t="s">
        <v>3</v>
      </c>
      <c r="L36" s="152" t="s">
        <v>3</v>
      </c>
      <c r="M36" s="121" t="s">
        <v>2</v>
      </c>
      <c r="N36" s="152"/>
      <c r="O36" s="121" t="s">
        <v>3</v>
      </c>
      <c r="P36" s="152"/>
      <c r="Q36" s="121" t="s">
        <v>3</v>
      </c>
      <c r="R36" s="152"/>
    </row>
    <row r="37" spans="1:18" ht="20.100000000000001" customHeight="1" x14ac:dyDescent="0.2">
      <c r="A37" s="130" t="s">
        <v>10</v>
      </c>
      <c r="B37" s="133" t="s">
        <v>1414</v>
      </c>
      <c r="C37" s="135" t="s">
        <v>1415</v>
      </c>
      <c r="D37" s="285">
        <v>177.13850000000002</v>
      </c>
      <c r="E37" s="121" t="s">
        <v>3</v>
      </c>
      <c r="F37" s="152" t="s">
        <v>3</v>
      </c>
      <c r="G37" s="121" t="s">
        <v>3</v>
      </c>
      <c r="H37" s="152" t="s">
        <v>3</v>
      </c>
      <c r="I37" s="121" t="s">
        <v>3</v>
      </c>
      <c r="J37" s="152" t="s">
        <v>3</v>
      </c>
      <c r="K37" s="121" t="s">
        <v>3</v>
      </c>
      <c r="L37" s="152" t="s">
        <v>3</v>
      </c>
      <c r="M37" s="121" t="s">
        <v>3</v>
      </c>
      <c r="N37" s="152"/>
      <c r="O37" s="121" t="s">
        <v>3</v>
      </c>
      <c r="P37" s="152"/>
      <c r="Q37" s="121" t="s">
        <v>3</v>
      </c>
      <c r="R37" s="152"/>
    </row>
    <row r="38" spans="1:18" ht="20.100000000000001" customHeight="1" x14ac:dyDescent="0.2">
      <c r="A38" s="130" t="s">
        <v>10</v>
      </c>
      <c r="B38" s="133" t="s">
        <v>2453</v>
      </c>
      <c r="C38" s="135" t="s">
        <v>2454</v>
      </c>
      <c r="D38" s="285">
        <v>174.19600000000003</v>
      </c>
      <c r="E38" s="121" t="s">
        <v>3</v>
      </c>
      <c r="F38" s="152" t="s">
        <v>3</v>
      </c>
      <c r="G38" s="121" t="s">
        <v>3</v>
      </c>
      <c r="H38" s="152" t="s">
        <v>3</v>
      </c>
      <c r="I38" s="121" t="s">
        <v>2</v>
      </c>
      <c r="J38" s="152" t="s">
        <v>2</v>
      </c>
      <c r="K38" s="121" t="s">
        <v>3</v>
      </c>
      <c r="L38" s="152" t="s">
        <v>3</v>
      </c>
      <c r="M38" s="121" t="s">
        <v>2</v>
      </c>
      <c r="N38" s="152"/>
      <c r="O38" s="121" t="s">
        <v>3</v>
      </c>
      <c r="P38" s="152"/>
      <c r="Q38" s="121" t="s">
        <v>3</v>
      </c>
      <c r="R38" s="152"/>
    </row>
    <row r="39" spans="1:18" ht="20.100000000000001" customHeight="1" x14ac:dyDescent="0.2">
      <c r="A39" s="130" t="s">
        <v>10</v>
      </c>
      <c r="B39" s="132" t="s">
        <v>1416</v>
      </c>
      <c r="C39" s="135" t="s">
        <v>1417</v>
      </c>
      <c r="D39" s="285">
        <v>570.25650000000007</v>
      </c>
      <c r="E39" s="121" t="s">
        <v>2</v>
      </c>
      <c r="F39" s="152" t="s">
        <v>3</v>
      </c>
      <c r="G39" s="121" t="s">
        <v>3</v>
      </c>
      <c r="H39" s="152" t="s">
        <v>3</v>
      </c>
      <c r="I39" s="121" t="s">
        <v>3</v>
      </c>
      <c r="J39" s="152" t="s">
        <v>3</v>
      </c>
      <c r="K39" s="121" t="s">
        <v>3</v>
      </c>
      <c r="L39" s="152" t="s">
        <v>3</v>
      </c>
      <c r="M39" s="121" t="s">
        <v>3</v>
      </c>
      <c r="N39" s="152"/>
      <c r="O39" s="121" t="s">
        <v>3</v>
      </c>
      <c r="P39" s="152"/>
      <c r="Q39" s="121" t="s">
        <v>3</v>
      </c>
      <c r="R39" s="152"/>
    </row>
    <row r="40" spans="1:18" ht="20.100000000000001" customHeight="1" x14ac:dyDescent="0.2">
      <c r="A40" s="130" t="s">
        <v>10</v>
      </c>
      <c r="B40" s="132" t="s">
        <v>1418</v>
      </c>
      <c r="C40" s="135" t="s">
        <v>1419</v>
      </c>
      <c r="D40" s="285">
        <v>570.25650000000007</v>
      </c>
      <c r="E40" s="121" t="s">
        <v>3</v>
      </c>
      <c r="F40" s="152" t="s">
        <v>3</v>
      </c>
      <c r="G40" s="121" t="s">
        <v>3</v>
      </c>
      <c r="H40" s="152" t="s">
        <v>3</v>
      </c>
      <c r="I40" s="121" t="s">
        <v>3</v>
      </c>
      <c r="J40" s="152" t="s">
        <v>3</v>
      </c>
      <c r="K40" s="121" t="s">
        <v>2</v>
      </c>
      <c r="L40" s="152" t="s">
        <v>2</v>
      </c>
      <c r="M40" s="121" t="s">
        <v>3</v>
      </c>
      <c r="N40" s="152"/>
      <c r="O40" s="121" t="s">
        <v>2</v>
      </c>
      <c r="P40" s="152"/>
      <c r="Q40" s="121" t="s">
        <v>3</v>
      </c>
      <c r="R40" s="152"/>
    </row>
    <row r="41" spans="1:18" ht="20.100000000000001" customHeight="1" x14ac:dyDescent="0.2">
      <c r="A41" s="130" t="s">
        <v>10</v>
      </c>
      <c r="B41" s="132" t="s">
        <v>1420</v>
      </c>
      <c r="C41" s="135" t="s">
        <v>1421</v>
      </c>
      <c r="D41" s="285">
        <v>570.25650000000007</v>
      </c>
      <c r="E41" s="121" t="s">
        <v>2</v>
      </c>
      <c r="F41" s="152" t="s">
        <v>3</v>
      </c>
      <c r="G41" s="121" t="s">
        <v>3</v>
      </c>
      <c r="H41" s="152" t="s">
        <v>3</v>
      </c>
      <c r="I41" s="121" t="s">
        <v>3</v>
      </c>
      <c r="J41" s="152" t="s">
        <v>3</v>
      </c>
      <c r="K41" s="121" t="s">
        <v>3</v>
      </c>
      <c r="L41" s="152" t="s">
        <v>3</v>
      </c>
      <c r="M41" s="121" t="s">
        <v>3</v>
      </c>
      <c r="N41" s="152"/>
      <c r="O41" s="121" t="s">
        <v>3</v>
      </c>
      <c r="P41" s="152"/>
      <c r="Q41" s="121" t="s">
        <v>3</v>
      </c>
      <c r="R41" s="152"/>
    </row>
    <row r="42" spans="1:18" ht="20.100000000000001" customHeight="1" x14ac:dyDescent="0.2">
      <c r="A42" s="130" t="s">
        <v>10</v>
      </c>
      <c r="B42" s="132" t="s">
        <v>1422</v>
      </c>
      <c r="C42" s="135" t="s">
        <v>1423</v>
      </c>
      <c r="D42" s="285">
        <v>195.38200000000003</v>
      </c>
      <c r="E42" s="121" t="s">
        <v>3</v>
      </c>
      <c r="F42" s="152" t="s">
        <v>3</v>
      </c>
      <c r="G42" s="121" t="s">
        <v>3</v>
      </c>
      <c r="H42" s="152" t="s">
        <v>3</v>
      </c>
      <c r="I42" s="121" t="s">
        <v>3</v>
      </c>
      <c r="J42" s="152" t="s">
        <v>3</v>
      </c>
      <c r="K42" s="121" t="s">
        <v>3</v>
      </c>
      <c r="L42" s="152" t="s">
        <v>3</v>
      </c>
      <c r="M42" s="121" t="s">
        <v>3</v>
      </c>
      <c r="N42" s="152"/>
      <c r="O42" s="121" t="s">
        <v>3</v>
      </c>
      <c r="P42" s="152"/>
      <c r="Q42" s="121" t="s">
        <v>3</v>
      </c>
      <c r="R42" s="152"/>
    </row>
    <row r="43" spans="1:18" ht="20.100000000000001" customHeight="1" x14ac:dyDescent="0.2">
      <c r="A43" s="130" t="s">
        <v>10</v>
      </c>
      <c r="B43" s="132" t="s">
        <v>1424</v>
      </c>
      <c r="C43" s="135" t="s">
        <v>2455</v>
      </c>
      <c r="D43" s="285">
        <v>144.1825</v>
      </c>
      <c r="E43" s="121" t="s">
        <v>3</v>
      </c>
      <c r="F43" s="152" t="s">
        <v>3</v>
      </c>
      <c r="G43" s="121" t="s">
        <v>3</v>
      </c>
      <c r="H43" s="152" t="s">
        <v>3</v>
      </c>
      <c r="I43" s="121" t="s">
        <v>2</v>
      </c>
      <c r="J43" s="152" t="s">
        <v>2</v>
      </c>
      <c r="K43" s="121" t="s">
        <v>3</v>
      </c>
      <c r="L43" s="152" t="s">
        <v>3</v>
      </c>
      <c r="M43" s="121" t="s">
        <v>2</v>
      </c>
      <c r="N43" s="152"/>
      <c r="O43" s="121" t="s">
        <v>3</v>
      </c>
      <c r="P43" s="152"/>
      <c r="Q43" s="121" t="s">
        <v>3</v>
      </c>
      <c r="R43" s="152"/>
    </row>
    <row r="44" spans="1:18" ht="20.100000000000001" customHeight="1" x14ac:dyDescent="0.2">
      <c r="A44" s="130" t="s">
        <v>10</v>
      </c>
      <c r="B44" s="132" t="s">
        <v>1425</v>
      </c>
      <c r="C44" s="135" t="s">
        <v>1426</v>
      </c>
      <c r="D44" s="285">
        <v>570.25650000000007</v>
      </c>
      <c r="E44" s="121" t="s">
        <v>3</v>
      </c>
      <c r="F44" s="152" t="s">
        <v>2</v>
      </c>
      <c r="G44" s="121" t="s">
        <v>2</v>
      </c>
      <c r="H44" s="152" t="s">
        <v>2</v>
      </c>
      <c r="I44" s="121" t="s">
        <v>3</v>
      </c>
      <c r="J44" s="152" t="s">
        <v>3</v>
      </c>
      <c r="K44" s="121" t="s">
        <v>3</v>
      </c>
      <c r="L44" s="152" t="s">
        <v>3</v>
      </c>
      <c r="M44" s="121" t="s">
        <v>3</v>
      </c>
      <c r="N44" s="152"/>
      <c r="O44" s="121" t="s">
        <v>3</v>
      </c>
      <c r="P44" s="152"/>
      <c r="Q44" s="121" t="s">
        <v>3</v>
      </c>
      <c r="R44" s="152"/>
    </row>
    <row r="45" spans="1:18" ht="20.100000000000001" customHeight="1" x14ac:dyDescent="0.2">
      <c r="A45" s="130" t="s">
        <v>10</v>
      </c>
      <c r="B45" s="132" t="s">
        <v>1427</v>
      </c>
      <c r="C45" s="135" t="s">
        <v>1428</v>
      </c>
      <c r="D45" s="285">
        <v>570.25650000000007</v>
      </c>
      <c r="E45" s="121" t="s">
        <v>3</v>
      </c>
      <c r="F45" s="152" t="s">
        <v>2</v>
      </c>
      <c r="G45" s="121" t="s">
        <v>2</v>
      </c>
      <c r="H45" s="152" t="s">
        <v>2</v>
      </c>
      <c r="I45" s="121" t="s">
        <v>3</v>
      </c>
      <c r="J45" s="152" t="s">
        <v>3</v>
      </c>
      <c r="K45" s="121" t="s">
        <v>3</v>
      </c>
      <c r="L45" s="152" t="s">
        <v>3</v>
      </c>
      <c r="M45" s="121" t="s">
        <v>3</v>
      </c>
      <c r="N45" s="152"/>
      <c r="O45" s="121" t="s">
        <v>3</v>
      </c>
      <c r="P45" s="152"/>
      <c r="Q45" s="121" t="s">
        <v>3</v>
      </c>
      <c r="R45" s="152"/>
    </row>
    <row r="46" spans="1:18" ht="20.100000000000001" customHeight="1" x14ac:dyDescent="0.2">
      <c r="A46" s="130" t="s">
        <v>10</v>
      </c>
      <c r="B46" s="132" t="s">
        <v>1429</v>
      </c>
      <c r="C46" s="135" t="s">
        <v>1430</v>
      </c>
      <c r="D46" s="285">
        <v>570.25650000000007</v>
      </c>
      <c r="E46" s="121" t="s">
        <v>3</v>
      </c>
      <c r="F46" s="152" t="s">
        <v>3</v>
      </c>
      <c r="G46" s="121" t="s">
        <v>3</v>
      </c>
      <c r="H46" s="152" t="s">
        <v>3</v>
      </c>
      <c r="I46" s="121" t="s">
        <v>3</v>
      </c>
      <c r="J46" s="152" t="s">
        <v>3</v>
      </c>
      <c r="K46" s="121" t="s">
        <v>2</v>
      </c>
      <c r="L46" s="152" t="s">
        <v>2</v>
      </c>
      <c r="M46" s="121" t="s">
        <v>3</v>
      </c>
      <c r="N46" s="152"/>
      <c r="O46" s="121" t="s">
        <v>2</v>
      </c>
      <c r="P46" s="152"/>
      <c r="Q46" s="121" t="s">
        <v>3</v>
      </c>
      <c r="R46" s="152"/>
    </row>
    <row r="47" spans="1:18" ht="20.100000000000001" customHeight="1" x14ac:dyDescent="0.2">
      <c r="A47" s="130" t="s">
        <v>10</v>
      </c>
      <c r="B47" s="132" t="s">
        <v>1431</v>
      </c>
      <c r="C47" s="135" t="s">
        <v>1432</v>
      </c>
      <c r="D47" s="285">
        <v>120.05400000000002</v>
      </c>
      <c r="E47" s="121" t="s">
        <v>3</v>
      </c>
      <c r="F47" s="152" t="s">
        <v>2</v>
      </c>
      <c r="G47" s="121" t="s">
        <v>2</v>
      </c>
      <c r="H47" s="152" t="s">
        <v>2</v>
      </c>
      <c r="I47" s="121" t="s">
        <v>3</v>
      </c>
      <c r="J47" s="152" t="s">
        <v>3</v>
      </c>
      <c r="K47" s="121" t="s">
        <v>2</v>
      </c>
      <c r="L47" s="152" t="s">
        <v>2</v>
      </c>
      <c r="M47" s="121" t="s">
        <v>3</v>
      </c>
      <c r="N47" s="152"/>
      <c r="O47" s="121" t="s">
        <v>2</v>
      </c>
      <c r="P47" s="152"/>
      <c r="Q47" s="121" t="s">
        <v>3</v>
      </c>
      <c r="R47" s="152"/>
    </row>
    <row r="48" spans="1:18" ht="20.100000000000001" customHeight="1" x14ac:dyDescent="0.2">
      <c r="A48" s="130" t="s">
        <v>10</v>
      </c>
      <c r="B48" s="132" t="s">
        <v>1433</v>
      </c>
      <c r="C48" s="135" t="s">
        <v>1434</v>
      </c>
      <c r="D48" s="285">
        <v>243.63900000000004</v>
      </c>
      <c r="E48" s="121" t="s">
        <v>3</v>
      </c>
      <c r="F48" s="152" t="s">
        <v>2</v>
      </c>
      <c r="G48" s="121" t="s">
        <v>2</v>
      </c>
      <c r="H48" s="152" t="s">
        <v>2</v>
      </c>
      <c r="I48" s="121" t="s">
        <v>3</v>
      </c>
      <c r="J48" s="152" t="s">
        <v>3</v>
      </c>
      <c r="K48" s="121" t="s">
        <v>2</v>
      </c>
      <c r="L48" s="152" t="s">
        <v>2</v>
      </c>
      <c r="M48" s="121" t="s">
        <v>3</v>
      </c>
      <c r="N48" s="152"/>
      <c r="O48" s="121" t="s">
        <v>2</v>
      </c>
      <c r="P48" s="152"/>
      <c r="Q48" s="121" t="s">
        <v>2</v>
      </c>
      <c r="R48" s="152"/>
    </row>
    <row r="49" spans="1:18" ht="20.100000000000001" customHeight="1" x14ac:dyDescent="0.2">
      <c r="A49" s="130" t="s">
        <v>10</v>
      </c>
      <c r="B49" s="132" t="s">
        <v>1435</v>
      </c>
      <c r="C49" s="135" t="s">
        <v>1436</v>
      </c>
      <c r="D49" s="285">
        <v>1908.8586</v>
      </c>
      <c r="E49" s="121" t="s">
        <v>3</v>
      </c>
      <c r="F49" s="152" t="s">
        <v>3</v>
      </c>
      <c r="G49" s="121" t="s">
        <v>3</v>
      </c>
      <c r="H49" s="152" t="s">
        <v>3</v>
      </c>
      <c r="I49" s="121" t="s">
        <v>3</v>
      </c>
      <c r="J49" s="152" t="s">
        <v>3</v>
      </c>
      <c r="K49" s="121" t="s">
        <v>2</v>
      </c>
      <c r="L49" s="152" t="s">
        <v>2</v>
      </c>
      <c r="M49" s="121" t="s">
        <v>3</v>
      </c>
      <c r="N49" s="152"/>
      <c r="O49" s="121" t="s">
        <v>2</v>
      </c>
      <c r="P49" s="152"/>
      <c r="Q49" s="121" t="s">
        <v>3</v>
      </c>
      <c r="R49" s="152"/>
    </row>
    <row r="50" spans="1:18" ht="20.100000000000001" customHeight="1" x14ac:dyDescent="0.2">
      <c r="A50" s="130" t="s">
        <v>10</v>
      </c>
      <c r="B50" s="132" t="s">
        <v>1437</v>
      </c>
      <c r="C50" s="135" t="s">
        <v>1438</v>
      </c>
      <c r="D50" s="285">
        <v>1029.8750000000002</v>
      </c>
      <c r="E50" s="121" t="s">
        <v>3</v>
      </c>
      <c r="F50" s="152" t="s">
        <v>2</v>
      </c>
      <c r="G50" s="121" t="s">
        <v>2</v>
      </c>
      <c r="H50" s="152" t="s">
        <v>2</v>
      </c>
      <c r="I50" s="121" t="s">
        <v>3</v>
      </c>
      <c r="J50" s="152" t="s">
        <v>3</v>
      </c>
      <c r="K50" s="121" t="s">
        <v>2</v>
      </c>
      <c r="L50" s="152" t="s">
        <v>2</v>
      </c>
      <c r="M50" s="121" t="s">
        <v>3</v>
      </c>
      <c r="N50" s="152"/>
      <c r="O50" s="121" t="s">
        <v>2</v>
      </c>
      <c r="P50" s="152"/>
      <c r="Q50" s="121" t="s">
        <v>3</v>
      </c>
      <c r="R50" s="152"/>
    </row>
    <row r="51" spans="1:18" ht="20.100000000000001" customHeight="1" x14ac:dyDescent="0.2">
      <c r="A51" s="130" t="s">
        <v>10</v>
      </c>
      <c r="B51" s="132" t="s">
        <v>1439</v>
      </c>
      <c r="C51" s="135" t="s">
        <v>1440</v>
      </c>
      <c r="D51" s="285">
        <v>686.19100000000014</v>
      </c>
      <c r="E51" s="121" t="s">
        <v>3</v>
      </c>
      <c r="F51" s="152" t="s">
        <v>2</v>
      </c>
      <c r="G51" s="121" t="s">
        <v>2</v>
      </c>
      <c r="H51" s="152" t="s">
        <v>2</v>
      </c>
      <c r="I51" s="121" t="s">
        <v>3</v>
      </c>
      <c r="J51" s="152" t="s">
        <v>3</v>
      </c>
      <c r="K51" s="121" t="s">
        <v>2</v>
      </c>
      <c r="L51" s="152" t="s">
        <v>2</v>
      </c>
      <c r="M51" s="121" t="s">
        <v>3</v>
      </c>
      <c r="N51" s="152"/>
      <c r="O51" s="121" t="s">
        <v>2</v>
      </c>
      <c r="P51" s="152"/>
      <c r="Q51" s="121" t="s">
        <v>3</v>
      </c>
      <c r="R51" s="152"/>
    </row>
    <row r="52" spans="1:18" ht="20.100000000000001" customHeight="1" x14ac:dyDescent="0.2">
      <c r="A52" s="130" t="s">
        <v>10</v>
      </c>
      <c r="B52" s="132" t="s">
        <v>1441</v>
      </c>
      <c r="C52" s="135" t="s">
        <v>1442</v>
      </c>
      <c r="D52" s="285">
        <v>607.92050000000017</v>
      </c>
      <c r="E52" s="121" t="s">
        <v>3</v>
      </c>
      <c r="F52" s="152" t="s">
        <v>2</v>
      </c>
      <c r="G52" s="121" t="s">
        <v>2</v>
      </c>
      <c r="H52" s="152" t="s">
        <v>2</v>
      </c>
      <c r="I52" s="121" t="s">
        <v>3</v>
      </c>
      <c r="J52" s="152" t="s">
        <v>3</v>
      </c>
      <c r="K52" s="121" t="s">
        <v>2</v>
      </c>
      <c r="L52" s="152" t="s">
        <v>2</v>
      </c>
      <c r="M52" s="121" t="s">
        <v>3</v>
      </c>
      <c r="N52" s="152"/>
      <c r="O52" s="121" t="s">
        <v>2</v>
      </c>
      <c r="P52" s="152"/>
      <c r="Q52" s="121" t="s">
        <v>3</v>
      </c>
      <c r="R52" s="152"/>
    </row>
    <row r="53" spans="1:18" ht="20.100000000000001" customHeight="1" x14ac:dyDescent="0.2">
      <c r="A53" s="130" t="s">
        <v>10</v>
      </c>
      <c r="B53" s="133" t="s">
        <v>1443</v>
      </c>
      <c r="C53" s="135" t="s">
        <v>1444</v>
      </c>
      <c r="D53" s="285">
        <v>186.55450000000005</v>
      </c>
      <c r="E53" s="121" t="s">
        <v>3</v>
      </c>
      <c r="F53" s="152" t="s">
        <v>3</v>
      </c>
      <c r="G53" s="121" t="s">
        <v>3</v>
      </c>
      <c r="H53" s="152" t="s">
        <v>3</v>
      </c>
      <c r="I53" s="121" t="s">
        <v>2</v>
      </c>
      <c r="J53" s="152" t="s">
        <v>2</v>
      </c>
      <c r="K53" s="121" t="s">
        <v>3</v>
      </c>
      <c r="L53" s="152" t="s">
        <v>3</v>
      </c>
      <c r="M53" s="121" t="s">
        <v>2</v>
      </c>
      <c r="N53" s="152"/>
      <c r="O53" s="121" t="s">
        <v>3</v>
      </c>
      <c r="P53" s="152"/>
      <c r="Q53" s="121" t="s">
        <v>3</v>
      </c>
      <c r="R53" s="152"/>
    </row>
    <row r="54" spans="1:18" ht="20.100000000000001" customHeight="1" x14ac:dyDescent="0.2">
      <c r="A54" s="130" t="s">
        <v>10</v>
      </c>
      <c r="B54" s="133" t="s">
        <v>2456</v>
      </c>
      <c r="C54" s="135" t="s">
        <v>2457</v>
      </c>
      <c r="D54" s="285">
        <v>84.155500000000018</v>
      </c>
      <c r="E54" s="121" t="s">
        <v>3</v>
      </c>
      <c r="F54" s="152" t="s">
        <v>3</v>
      </c>
      <c r="G54" s="121" t="s">
        <v>3</v>
      </c>
      <c r="H54" s="152" t="s">
        <v>3</v>
      </c>
      <c r="I54" s="121" t="s">
        <v>2</v>
      </c>
      <c r="J54" s="152" t="s">
        <v>2</v>
      </c>
      <c r="K54" s="121" t="s">
        <v>3</v>
      </c>
      <c r="L54" s="152" t="s">
        <v>2</v>
      </c>
      <c r="M54" s="121" t="s">
        <v>2</v>
      </c>
      <c r="N54" s="152"/>
      <c r="O54" s="121" t="s">
        <v>2</v>
      </c>
      <c r="P54" s="152"/>
      <c r="Q54" s="121" t="s">
        <v>2</v>
      </c>
      <c r="R54" s="152"/>
    </row>
    <row r="55" spans="1:18" ht="20.100000000000001" customHeight="1" x14ac:dyDescent="0.2">
      <c r="A55" s="130" t="s">
        <v>10</v>
      </c>
      <c r="B55" s="133" t="s">
        <v>1445</v>
      </c>
      <c r="C55" s="135" t="s">
        <v>1446</v>
      </c>
      <c r="D55" s="285">
        <v>69.443000000000012</v>
      </c>
      <c r="E55" s="121" t="s">
        <v>2</v>
      </c>
      <c r="F55" s="152" t="s">
        <v>3</v>
      </c>
      <c r="G55" s="121" t="s">
        <v>3</v>
      </c>
      <c r="H55" s="152" t="s">
        <v>3</v>
      </c>
      <c r="I55" s="121" t="s">
        <v>3</v>
      </c>
      <c r="J55" s="152" t="s">
        <v>3</v>
      </c>
      <c r="K55" s="121" t="s">
        <v>3</v>
      </c>
      <c r="L55" s="152" t="s">
        <v>2</v>
      </c>
      <c r="M55" s="121" t="s">
        <v>3</v>
      </c>
      <c r="N55" s="152"/>
      <c r="O55" s="121" t="s">
        <v>3</v>
      </c>
      <c r="P55" s="152"/>
      <c r="Q55" s="121" t="s">
        <v>3</v>
      </c>
      <c r="R55" s="152"/>
    </row>
    <row r="56" spans="1:18" ht="20.100000000000001" customHeight="1" x14ac:dyDescent="0.2">
      <c r="A56" s="130" t="s">
        <v>10</v>
      </c>
      <c r="B56" s="133" t="s">
        <v>1447</v>
      </c>
      <c r="C56" s="135" t="s">
        <v>1448</v>
      </c>
      <c r="D56" s="285">
        <v>756.2225000000002</v>
      </c>
      <c r="E56" s="121" t="s">
        <v>2</v>
      </c>
      <c r="F56" s="152" t="s">
        <v>3</v>
      </c>
      <c r="G56" s="121" t="s">
        <v>3</v>
      </c>
      <c r="H56" s="152" t="s">
        <v>3</v>
      </c>
      <c r="I56" s="121" t="s">
        <v>3</v>
      </c>
      <c r="J56" s="152" t="s">
        <v>3</v>
      </c>
      <c r="K56" s="121" t="s">
        <v>3</v>
      </c>
      <c r="L56" s="152" t="s">
        <v>3</v>
      </c>
      <c r="M56" s="121" t="s">
        <v>3</v>
      </c>
      <c r="N56" s="152"/>
      <c r="O56" s="121" t="s">
        <v>3</v>
      </c>
      <c r="P56" s="152"/>
      <c r="Q56" s="121" t="s">
        <v>3</v>
      </c>
      <c r="R56" s="152"/>
    </row>
    <row r="57" spans="1:18" ht="20.100000000000001" customHeight="1" x14ac:dyDescent="0.2">
      <c r="A57" s="130" t="s">
        <v>10</v>
      </c>
      <c r="B57" s="133" t="s">
        <v>1449</v>
      </c>
      <c r="C57" s="135" t="s">
        <v>1450</v>
      </c>
      <c r="D57" s="285">
        <v>892.16600000000017</v>
      </c>
      <c r="E57" s="121" t="s">
        <v>2</v>
      </c>
      <c r="F57" s="152" t="s">
        <v>3</v>
      </c>
      <c r="G57" s="121" t="s">
        <v>3</v>
      </c>
      <c r="H57" s="152" t="s">
        <v>3</v>
      </c>
      <c r="I57" s="121" t="s">
        <v>3</v>
      </c>
      <c r="J57" s="152" t="s">
        <v>3</v>
      </c>
      <c r="K57" s="121" t="s">
        <v>3</v>
      </c>
      <c r="L57" s="152" t="s">
        <v>3</v>
      </c>
      <c r="M57" s="121" t="s">
        <v>3</v>
      </c>
      <c r="N57" s="152"/>
      <c r="O57" s="121" t="s">
        <v>3</v>
      </c>
      <c r="P57" s="152"/>
      <c r="Q57" s="121" t="s">
        <v>3</v>
      </c>
      <c r="R57" s="152"/>
    </row>
    <row r="58" spans="1:18" ht="20.100000000000001" customHeight="1" x14ac:dyDescent="0.2">
      <c r="A58" s="130" t="s">
        <v>10</v>
      </c>
      <c r="B58" s="133" t="s">
        <v>1451</v>
      </c>
      <c r="C58" s="135" t="s">
        <v>1452</v>
      </c>
      <c r="D58" s="285">
        <v>1390.6255000000001</v>
      </c>
      <c r="E58" s="121" t="s">
        <v>2</v>
      </c>
      <c r="F58" s="152" t="s">
        <v>3</v>
      </c>
      <c r="G58" s="121" t="s">
        <v>3</v>
      </c>
      <c r="H58" s="152" t="s">
        <v>3</v>
      </c>
      <c r="I58" s="121" t="s">
        <v>3</v>
      </c>
      <c r="J58" s="152" t="s">
        <v>3</v>
      </c>
      <c r="K58" s="121" t="s">
        <v>3</v>
      </c>
      <c r="L58" s="152" t="s">
        <v>3</v>
      </c>
      <c r="M58" s="121" t="s">
        <v>3</v>
      </c>
      <c r="N58" s="152"/>
      <c r="O58" s="121" t="s">
        <v>3</v>
      </c>
      <c r="P58" s="152"/>
      <c r="Q58" s="121" t="s">
        <v>3</v>
      </c>
      <c r="R58" s="152"/>
    </row>
    <row r="59" spans="1:18" ht="20.100000000000001" customHeight="1" x14ac:dyDescent="0.2">
      <c r="A59" s="130" t="s">
        <v>10</v>
      </c>
      <c r="B59" s="133" t="s">
        <v>1453</v>
      </c>
      <c r="C59" s="135" t="s">
        <v>1454</v>
      </c>
      <c r="D59" s="285">
        <v>273.65250000000003</v>
      </c>
      <c r="E59" s="121" t="s">
        <v>2</v>
      </c>
      <c r="F59" s="152" t="s">
        <v>3</v>
      </c>
      <c r="G59" s="121" t="s">
        <v>3</v>
      </c>
      <c r="H59" s="152" t="s">
        <v>3</v>
      </c>
      <c r="I59" s="121" t="s">
        <v>3</v>
      </c>
      <c r="J59" s="152" t="s">
        <v>3</v>
      </c>
      <c r="K59" s="121" t="s">
        <v>3</v>
      </c>
      <c r="L59" s="152" t="s">
        <v>2</v>
      </c>
      <c r="M59" s="121" t="s">
        <v>3</v>
      </c>
      <c r="N59" s="152"/>
      <c r="O59" s="121" t="s">
        <v>2</v>
      </c>
      <c r="P59" s="152"/>
      <c r="Q59" s="121" t="s">
        <v>3</v>
      </c>
      <c r="R59" s="152"/>
    </row>
    <row r="60" spans="1:18" ht="20.100000000000001" customHeight="1" x14ac:dyDescent="0.2">
      <c r="A60" s="130" t="s">
        <v>10</v>
      </c>
      <c r="B60" s="132" t="s">
        <v>1455</v>
      </c>
      <c r="C60" s="135" t="s">
        <v>1456</v>
      </c>
      <c r="D60" s="285">
        <v>585.5575</v>
      </c>
      <c r="E60" s="121" t="s">
        <v>3</v>
      </c>
      <c r="F60" s="152" t="s">
        <v>2</v>
      </c>
      <c r="G60" s="121" t="s">
        <v>2</v>
      </c>
      <c r="H60" s="152" t="s">
        <v>2</v>
      </c>
      <c r="I60" s="121" t="s">
        <v>3</v>
      </c>
      <c r="J60" s="152" t="s">
        <v>3</v>
      </c>
      <c r="K60" s="121" t="s">
        <v>2</v>
      </c>
      <c r="L60" s="152" t="s">
        <v>2</v>
      </c>
      <c r="M60" s="121" t="s">
        <v>3</v>
      </c>
      <c r="N60" s="152"/>
      <c r="O60" s="121" t="s">
        <v>2</v>
      </c>
      <c r="P60" s="152"/>
      <c r="Q60" s="121" t="s">
        <v>3</v>
      </c>
      <c r="R60" s="152"/>
    </row>
    <row r="61" spans="1:18" ht="20.100000000000001" customHeight="1" x14ac:dyDescent="0.2">
      <c r="A61" s="130" t="s">
        <v>10</v>
      </c>
      <c r="B61" s="132" t="s">
        <v>1457</v>
      </c>
      <c r="C61" s="135" t="s">
        <v>1458</v>
      </c>
      <c r="D61" s="285">
        <v>809.18750000000011</v>
      </c>
      <c r="E61" s="121" t="s">
        <v>3</v>
      </c>
      <c r="F61" s="152" t="s">
        <v>2</v>
      </c>
      <c r="G61" s="121" t="s">
        <v>2</v>
      </c>
      <c r="H61" s="152" t="s">
        <v>2</v>
      </c>
      <c r="I61" s="121" t="s">
        <v>3</v>
      </c>
      <c r="J61" s="152" t="s">
        <v>3</v>
      </c>
      <c r="K61" s="121" t="s">
        <v>3</v>
      </c>
      <c r="L61" s="152" t="s">
        <v>3</v>
      </c>
      <c r="M61" s="121" t="s">
        <v>3</v>
      </c>
      <c r="N61" s="152"/>
      <c r="O61" s="121" t="s">
        <v>3</v>
      </c>
      <c r="P61" s="152"/>
      <c r="Q61" s="121" t="s">
        <v>3</v>
      </c>
      <c r="R61" s="152"/>
    </row>
    <row r="62" spans="1:18" ht="20.100000000000001" customHeight="1" x14ac:dyDescent="0.2">
      <c r="A62" s="130" t="s">
        <v>10</v>
      </c>
      <c r="B62" s="132" t="s">
        <v>1459</v>
      </c>
      <c r="C62" s="135" t="s">
        <v>1460</v>
      </c>
      <c r="D62" s="285">
        <v>1307.6470000000004</v>
      </c>
      <c r="E62" s="121" t="s">
        <v>3</v>
      </c>
      <c r="F62" s="152" t="s">
        <v>2</v>
      </c>
      <c r="G62" s="121" t="s">
        <v>2</v>
      </c>
      <c r="H62" s="152" t="s">
        <v>2</v>
      </c>
      <c r="I62" s="121" t="s">
        <v>3</v>
      </c>
      <c r="J62" s="152" t="s">
        <v>3</v>
      </c>
      <c r="K62" s="121" t="s">
        <v>3</v>
      </c>
      <c r="L62" s="152" t="s">
        <v>3</v>
      </c>
      <c r="M62" s="121" t="s">
        <v>3</v>
      </c>
      <c r="N62" s="152"/>
      <c r="O62" s="121" t="s">
        <v>3</v>
      </c>
      <c r="P62" s="152"/>
      <c r="Q62" s="121" t="s">
        <v>3</v>
      </c>
      <c r="R62" s="152"/>
    </row>
    <row r="63" spans="1:18" ht="20.100000000000001" customHeight="1" x14ac:dyDescent="0.2">
      <c r="A63" s="130" t="s">
        <v>10</v>
      </c>
      <c r="B63" s="132" t="s">
        <v>1461</v>
      </c>
      <c r="C63" s="135" t="s">
        <v>1462</v>
      </c>
      <c r="D63" s="285">
        <v>192.43950000000004</v>
      </c>
      <c r="E63" s="121" t="s">
        <v>3</v>
      </c>
      <c r="F63" s="152" t="s">
        <v>2</v>
      </c>
      <c r="G63" s="121" t="s">
        <v>2</v>
      </c>
      <c r="H63" s="152" t="s">
        <v>2</v>
      </c>
      <c r="I63" s="121" t="s">
        <v>3</v>
      </c>
      <c r="J63" s="152" t="s">
        <v>3</v>
      </c>
      <c r="K63" s="121" t="s">
        <v>2</v>
      </c>
      <c r="L63" s="152" t="s">
        <v>2</v>
      </c>
      <c r="M63" s="121" t="s">
        <v>3</v>
      </c>
      <c r="N63" s="152"/>
      <c r="O63" s="121" t="s">
        <v>2</v>
      </c>
      <c r="P63" s="152"/>
      <c r="Q63" s="121" t="s">
        <v>3</v>
      </c>
      <c r="R63" s="152"/>
    </row>
    <row r="64" spans="1:18" ht="20.100000000000001" customHeight="1" x14ac:dyDescent="0.2">
      <c r="A64" s="130" t="s">
        <v>10</v>
      </c>
      <c r="B64" s="132" t="s">
        <v>1463</v>
      </c>
      <c r="C64" s="135" t="s">
        <v>1464</v>
      </c>
      <c r="D64" s="285">
        <v>480.21600000000007</v>
      </c>
      <c r="E64" s="121" t="s">
        <v>3</v>
      </c>
      <c r="F64" s="152" t="s">
        <v>3</v>
      </c>
      <c r="G64" s="121" t="s">
        <v>3</v>
      </c>
      <c r="H64" s="152" t="s">
        <v>3</v>
      </c>
      <c r="I64" s="121" t="s">
        <v>3</v>
      </c>
      <c r="J64" s="152" t="s">
        <v>3</v>
      </c>
      <c r="K64" s="121" t="s">
        <v>2</v>
      </c>
      <c r="L64" s="152" t="s">
        <v>2</v>
      </c>
      <c r="M64" s="121" t="s">
        <v>3</v>
      </c>
      <c r="N64" s="152"/>
      <c r="O64" s="121" t="s">
        <v>2</v>
      </c>
      <c r="P64" s="152"/>
      <c r="Q64" s="121" t="s">
        <v>2</v>
      </c>
      <c r="R64" s="152"/>
    </row>
    <row r="65" spans="1:18" ht="20.100000000000001" customHeight="1" x14ac:dyDescent="0.2">
      <c r="A65" s="130" t="s">
        <v>10</v>
      </c>
      <c r="B65" s="132" t="s">
        <v>1465</v>
      </c>
      <c r="C65" s="135" t="s">
        <v>1466</v>
      </c>
      <c r="D65" s="285">
        <v>809.18750000000011</v>
      </c>
      <c r="E65" s="121" t="s">
        <v>3</v>
      </c>
      <c r="F65" s="152" t="s">
        <v>3</v>
      </c>
      <c r="G65" s="121" t="s">
        <v>3</v>
      </c>
      <c r="H65" s="152" t="s">
        <v>3</v>
      </c>
      <c r="I65" s="121" t="s">
        <v>3</v>
      </c>
      <c r="J65" s="152" t="s">
        <v>3</v>
      </c>
      <c r="K65" s="121" t="s">
        <v>2</v>
      </c>
      <c r="L65" s="152" t="s">
        <v>2</v>
      </c>
      <c r="M65" s="121" t="s">
        <v>3</v>
      </c>
      <c r="N65" s="152"/>
      <c r="O65" s="121" t="s">
        <v>2</v>
      </c>
      <c r="P65" s="152"/>
      <c r="Q65" s="121" t="s">
        <v>3</v>
      </c>
      <c r="R65" s="152"/>
    </row>
    <row r="66" spans="1:18" ht="20.100000000000001" customHeight="1" x14ac:dyDescent="0.2">
      <c r="A66" s="130" t="s">
        <v>10</v>
      </c>
      <c r="B66" s="132" t="s">
        <v>1467</v>
      </c>
      <c r="C66" s="135" t="s">
        <v>1468</v>
      </c>
      <c r="D66" s="285">
        <v>1307.6469999999999</v>
      </c>
      <c r="E66" s="121" t="s">
        <v>3</v>
      </c>
      <c r="F66" s="152" t="s">
        <v>3</v>
      </c>
      <c r="G66" s="121" t="s">
        <v>3</v>
      </c>
      <c r="H66" s="152" t="s">
        <v>3</v>
      </c>
      <c r="I66" s="121" t="s">
        <v>3</v>
      </c>
      <c r="J66" s="152" t="s">
        <v>3</v>
      </c>
      <c r="K66" s="121" t="s">
        <v>2</v>
      </c>
      <c r="L66" s="152" t="s">
        <v>2</v>
      </c>
      <c r="M66" s="121" t="s">
        <v>3</v>
      </c>
      <c r="N66" s="152"/>
      <c r="O66" s="121" t="s">
        <v>2</v>
      </c>
      <c r="P66" s="152"/>
      <c r="Q66" s="121" t="s">
        <v>3</v>
      </c>
      <c r="R66" s="152"/>
    </row>
    <row r="67" spans="1:18" ht="20.100000000000001" customHeight="1" x14ac:dyDescent="0.2">
      <c r="A67" s="130" t="s">
        <v>10</v>
      </c>
      <c r="B67" s="132" t="s">
        <v>1469</v>
      </c>
      <c r="C67" s="135" t="s">
        <v>1470</v>
      </c>
      <c r="D67" s="285">
        <v>1709.5925000000002</v>
      </c>
      <c r="E67" s="121" t="s">
        <v>3</v>
      </c>
      <c r="F67" s="152" t="s">
        <v>3</v>
      </c>
      <c r="G67" s="121" t="s">
        <v>3</v>
      </c>
      <c r="H67" s="152" t="s">
        <v>3</v>
      </c>
      <c r="I67" s="121" t="s">
        <v>3</v>
      </c>
      <c r="J67" s="152" t="s">
        <v>3</v>
      </c>
      <c r="K67" s="121" t="s">
        <v>2</v>
      </c>
      <c r="L67" s="152" t="s">
        <v>2</v>
      </c>
      <c r="M67" s="121" t="s">
        <v>3</v>
      </c>
      <c r="N67" s="152"/>
      <c r="O67" s="121" t="s">
        <v>2</v>
      </c>
      <c r="P67" s="152"/>
      <c r="Q67" s="121" t="s">
        <v>3</v>
      </c>
      <c r="R67" s="152"/>
    </row>
    <row r="68" spans="1:18" ht="20.100000000000001" customHeight="1" x14ac:dyDescent="0.2">
      <c r="A68" s="130" t="s">
        <v>10</v>
      </c>
      <c r="B68" s="132" t="s">
        <v>1471</v>
      </c>
      <c r="C68" s="135" t="s">
        <v>1472</v>
      </c>
      <c r="D68" s="285">
        <v>2607.0550000000003</v>
      </c>
      <c r="E68" s="121" t="s">
        <v>3</v>
      </c>
      <c r="F68" s="152" t="s">
        <v>3</v>
      </c>
      <c r="G68" s="121" t="s">
        <v>3</v>
      </c>
      <c r="H68" s="152" t="s">
        <v>3</v>
      </c>
      <c r="I68" s="121" t="s">
        <v>3</v>
      </c>
      <c r="J68" s="152" t="s">
        <v>3</v>
      </c>
      <c r="K68" s="121" t="s">
        <v>2</v>
      </c>
      <c r="L68" s="152" t="s">
        <v>2</v>
      </c>
      <c r="M68" s="121" t="s">
        <v>3</v>
      </c>
      <c r="N68" s="152"/>
      <c r="O68" s="121" t="s">
        <v>2</v>
      </c>
      <c r="P68" s="152"/>
      <c r="Q68" s="121" t="s">
        <v>3</v>
      </c>
      <c r="R68" s="152"/>
    </row>
    <row r="69" spans="1:18" ht="20.100000000000001" customHeight="1" x14ac:dyDescent="0.2">
      <c r="A69" s="130" t="s">
        <v>10</v>
      </c>
      <c r="B69" s="133" t="s">
        <v>1473</v>
      </c>
      <c r="C69" s="135" t="s">
        <v>1474</v>
      </c>
      <c r="D69" s="285">
        <v>2863.6410000000005</v>
      </c>
      <c r="E69" s="121" t="s">
        <v>3</v>
      </c>
      <c r="F69" s="152" t="s">
        <v>3</v>
      </c>
      <c r="G69" s="121" t="s">
        <v>3</v>
      </c>
      <c r="H69" s="152" t="s">
        <v>3</v>
      </c>
      <c r="I69" s="121" t="s">
        <v>3</v>
      </c>
      <c r="J69" s="152" t="s">
        <v>3</v>
      </c>
      <c r="K69" s="121" t="s">
        <v>2</v>
      </c>
      <c r="L69" s="152" t="s">
        <v>2</v>
      </c>
      <c r="M69" s="121" t="s">
        <v>3</v>
      </c>
      <c r="N69" s="152"/>
      <c r="O69" s="121" t="s">
        <v>2</v>
      </c>
      <c r="P69" s="152"/>
      <c r="Q69" s="121" t="s">
        <v>2</v>
      </c>
      <c r="R69" s="152"/>
    </row>
    <row r="70" spans="1:18" ht="20.100000000000001" customHeight="1" x14ac:dyDescent="0.2">
      <c r="A70" s="130" t="s">
        <v>10</v>
      </c>
      <c r="B70" s="133" t="s">
        <v>1475</v>
      </c>
      <c r="C70" s="135" t="s">
        <v>1476</v>
      </c>
      <c r="D70" s="285">
        <v>480.21600000000007</v>
      </c>
      <c r="E70" s="121" t="s">
        <v>3</v>
      </c>
      <c r="F70" s="152" t="s">
        <v>3</v>
      </c>
      <c r="G70" s="121" t="s">
        <v>3</v>
      </c>
      <c r="H70" s="152" t="s">
        <v>3</v>
      </c>
      <c r="I70" s="121" t="s">
        <v>3</v>
      </c>
      <c r="J70" s="152" t="s">
        <v>3</v>
      </c>
      <c r="K70" s="121" t="s">
        <v>2</v>
      </c>
      <c r="L70" s="152" t="s">
        <v>2</v>
      </c>
      <c r="M70" s="121" t="s">
        <v>3</v>
      </c>
      <c r="N70" s="152"/>
      <c r="O70" s="121" t="s">
        <v>2</v>
      </c>
      <c r="P70" s="152"/>
      <c r="Q70" s="121" t="s">
        <v>2</v>
      </c>
      <c r="R70" s="152"/>
    </row>
    <row r="71" spans="1:18" ht="20.100000000000001" customHeight="1" x14ac:dyDescent="0.2">
      <c r="A71" s="130" t="s">
        <v>10</v>
      </c>
      <c r="B71" s="133" t="s">
        <v>1477</v>
      </c>
      <c r="C71" s="135" t="s">
        <v>1478</v>
      </c>
      <c r="D71" s="285">
        <v>54.142000000000003</v>
      </c>
      <c r="E71" s="121" t="s">
        <v>3</v>
      </c>
      <c r="F71" s="152" t="s">
        <v>3</v>
      </c>
      <c r="G71" s="121" t="s">
        <v>3</v>
      </c>
      <c r="H71" s="152" t="s">
        <v>3</v>
      </c>
      <c r="I71" s="121" t="s">
        <v>3</v>
      </c>
      <c r="J71" s="152" t="s">
        <v>3</v>
      </c>
      <c r="K71" s="121" t="s">
        <v>2</v>
      </c>
      <c r="L71" s="152" t="s">
        <v>2</v>
      </c>
      <c r="M71" s="121" t="s">
        <v>3</v>
      </c>
      <c r="N71" s="152"/>
      <c r="O71" s="121" t="s">
        <v>2</v>
      </c>
      <c r="P71" s="152"/>
      <c r="Q71" s="121" t="s">
        <v>3</v>
      </c>
      <c r="R71" s="152"/>
    </row>
    <row r="72" spans="1:18" ht="20.100000000000001" customHeight="1" x14ac:dyDescent="0.2">
      <c r="A72" s="130" t="s">
        <v>10</v>
      </c>
      <c r="B72" s="132" t="s">
        <v>1479</v>
      </c>
      <c r="C72" s="135" t="s">
        <v>1480</v>
      </c>
      <c r="D72" s="285">
        <v>180.08100000000002</v>
      </c>
      <c r="E72" s="121" t="s">
        <v>2</v>
      </c>
      <c r="F72" s="152" t="s">
        <v>2</v>
      </c>
      <c r="G72" s="121" t="s">
        <v>2</v>
      </c>
      <c r="H72" s="152" t="s">
        <v>2</v>
      </c>
      <c r="I72" s="121" t="s">
        <v>3</v>
      </c>
      <c r="J72" s="152" t="s">
        <v>3</v>
      </c>
      <c r="K72" s="121" t="s">
        <v>2</v>
      </c>
      <c r="L72" s="152" t="s">
        <v>2</v>
      </c>
      <c r="M72" s="121" t="s">
        <v>3</v>
      </c>
      <c r="N72" s="152"/>
      <c r="O72" s="121" t="s">
        <v>2</v>
      </c>
      <c r="P72" s="152"/>
      <c r="Q72" s="121" t="s">
        <v>2</v>
      </c>
      <c r="R72" s="152"/>
    </row>
    <row r="73" spans="1:18" ht="20.100000000000001" customHeight="1" x14ac:dyDescent="0.2">
      <c r="A73" s="130" t="s">
        <v>10</v>
      </c>
      <c r="B73" s="132" t="s">
        <v>1481</v>
      </c>
      <c r="C73" s="135" t="s">
        <v>1482</v>
      </c>
      <c r="D73" s="285">
        <v>180.08100000000002</v>
      </c>
      <c r="E73" s="121" t="s">
        <v>2</v>
      </c>
      <c r="F73" s="152" t="s">
        <v>2</v>
      </c>
      <c r="G73" s="121" t="s">
        <v>2</v>
      </c>
      <c r="H73" s="152" t="s">
        <v>2</v>
      </c>
      <c r="I73" s="121" t="s">
        <v>3</v>
      </c>
      <c r="J73" s="152" t="s">
        <v>3</v>
      </c>
      <c r="K73" s="121" t="s">
        <v>2</v>
      </c>
      <c r="L73" s="152" t="s">
        <v>2</v>
      </c>
      <c r="M73" s="121" t="s">
        <v>3</v>
      </c>
      <c r="N73" s="152"/>
      <c r="O73" s="121" t="s">
        <v>2</v>
      </c>
      <c r="P73" s="152"/>
      <c r="Q73" s="121" t="s">
        <v>3</v>
      </c>
      <c r="R73" s="152"/>
    </row>
    <row r="74" spans="1:18" ht="20.100000000000001" customHeight="1" x14ac:dyDescent="0.2">
      <c r="A74" s="130" t="s">
        <v>10</v>
      </c>
      <c r="B74" s="132" t="s">
        <v>1483</v>
      </c>
      <c r="C74" s="135" t="s">
        <v>1484</v>
      </c>
      <c r="D74" s="285">
        <v>180.08100000000002</v>
      </c>
      <c r="E74" s="121" t="s">
        <v>3</v>
      </c>
      <c r="F74" s="152" t="s">
        <v>2</v>
      </c>
      <c r="G74" s="121" t="s">
        <v>2</v>
      </c>
      <c r="H74" s="152" t="s">
        <v>2</v>
      </c>
      <c r="I74" s="121" t="s">
        <v>3</v>
      </c>
      <c r="J74" s="152" t="s">
        <v>3</v>
      </c>
      <c r="K74" s="121" t="s">
        <v>2</v>
      </c>
      <c r="L74" s="152" t="s">
        <v>2</v>
      </c>
      <c r="M74" s="121" t="s">
        <v>3</v>
      </c>
      <c r="N74" s="152"/>
      <c r="O74" s="121" t="s">
        <v>2</v>
      </c>
      <c r="P74" s="152"/>
      <c r="Q74" s="121" t="s">
        <v>3</v>
      </c>
      <c r="R74" s="152"/>
    </row>
    <row r="75" spans="1:18" ht="20.100000000000001" customHeight="1" x14ac:dyDescent="0.2">
      <c r="A75" s="130" t="s">
        <v>10</v>
      </c>
      <c r="B75" s="132" t="s">
        <v>1485</v>
      </c>
      <c r="C75" s="135" t="s">
        <v>1486</v>
      </c>
      <c r="D75" s="285">
        <v>180.08100000000002</v>
      </c>
      <c r="E75" s="121" t="s">
        <v>3</v>
      </c>
      <c r="F75" s="152" t="s">
        <v>2</v>
      </c>
      <c r="G75" s="121" t="s">
        <v>2</v>
      </c>
      <c r="H75" s="152" t="s">
        <v>2</v>
      </c>
      <c r="I75" s="121" t="s">
        <v>3</v>
      </c>
      <c r="J75" s="152" t="s">
        <v>3</v>
      </c>
      <c r="K75" s="121" t="s">
        <v>2</v>
      </c>
      <c r="L75" s="152" t="s">
        <v>2</v>
      </c>
      <c r="M75" s="121" t="s">
        <v>3</v>
      </c>
      <c r="N75" s="152"/>
      <c r="O75" s="121" t="s">
        <v>2</v>
      </c>
      <c r="P75" s="152"/>
      <c r="Q75" s="121" t="s">
        <v>2</v>
      </c>
      <c r="R75" s="152"/>
    </row>
    <row r="76" spans="1:18" ht="20.100000000000001" customHeight="1" x14ac:dyDescent="0.2">
      <c r="A76" s="130" t="s">
        <v>10</v>
      </c>
      <c r="B76" s="132" t="s">
        <v>1487</v>
      </c>
      <c r="C76" s="135" t="s">
        <v>1488</v>
      </c>
      <c r="D76" s="285">
        <v>489.63200000000006</v>
      </c>
      <c r="E76" s="121" t="s">
        <v>3</v>
      </c>
      <c r="F76" s="152" t="s">
        <v>3</v>
      </c>
      <c r="G76" s="121" t="s">
        <v>3</v>
      </c>
      <c r="H76" s="152" t="s">
        <v>3</v>
      </c>
      <c r="I76" s="121" t="s">
        <v>3</v>
      </c>
      <c r="J76" s="152" t="s">
        <v>3</v>
      </c>
      <c r="K76" s="121" t="s">
        <v>2</v>
      </c>
      <c r="L76" s="152" t="s">
        <v>2</v>
      </c>
      <c r="M76" s="121" t="s">
        <v>3</v>
      </c>
      <c r="N76" s="152"/>
      <c r="O76" s="121" t="s">
        <v>2</v>
      </c>
      <c r="P76" s="152"/>
      <c r="Q76" s="121" t="s">
        <v>2</v>
      </c>
      <c r="R76" s="152"/>
    </row>
    <row r="77" spans="1:18" ht="20.100000000000001" customHeight="1" x14ac:dyDescent="0.2">
      <c r="A77" s="130" t="s">
        <v>10</v>
      </c>
      <c r="B77" s="132" t="s">
        <v>1489</v>
      </c>
      <c r="C77" s="135" t="s">
        <v>1490</v>
      </c>
      <c r="D77" s="285">
        <v>489.63200000000006</v>
      </c>
      <c r="E77" s="121" t="s">
        <v>3</v>
      </c>
      <c r="F77" s="152" t="s">
        <v>3</v>
      </c>
      <c r="G77" s="121" t="s">
        <v>3</v>
      </c>
      <c r="H77" s="152" t="s">
        <v>3</v>
      </c>
      <c r="I77" s="121" t="s">
        <v>3</v>
      </c>
      <c r="J77" s="152" t="s">
        <v>3</v>
      </c>
      <c r="K77" s="121" t="s">
        <v>2</v>
      </c>
      <c r="L77" s="152" t="s">
        <v>2</v>
      </c>
      <c r="M77" s="121" t="s">
        <v>3</v>
      </c>
      <c r="N77" s="152"/>
      <c r="O77" s="121" t="s">
        <v>2</v>
      </c>
      <c r="P77" s="152"/>
      <c r="Q77" s="121" t="s">
        <v>2</v>
      </c>
      <c r="R77" s="152"/>
    </row>
    <row r="78" spans="1:18" ht="20.100000000000001" customHeight="1" x14ac:dyDescent="0.2">
      <c r="A78" s="130" t="s">
        <v>10</v>
      </c>
      <c r="B78" s="132" t="s">
        <v>1491</v>
      </c>
      <c r="C78" s="135" t="s">
        <v>1492</v>
      </c>
      <c r="D78" s="285">
        <v>249.52400000000003</v>
      </c>
      <c r="E78" s="121" t="s">
        <v>3</v>
      </c>
      <c r="F78" s="152" t="s">
        <v>3</v>
      </c>
      <c r="G78" s="121" t="s">
        <v>3</v>
      </c>
      <c r="H78" s="152" t="s">
        <v>3</v>
      </c>
      <c r="I78" s="121" t="s">
        <v>3</v>
      </c>
      <c r="J78" s="152" t="s">
        <v>3</v>
      </c>
      <c r="K78" s="121" t="s">
        <v>3</v>
      </c>
      <c r="L78" s="152" t="s">
        <v>3</v>
      </c>
      <c r="M78" s="121" t="s">
        <v>3</v>
      </c>
      <c r="N78" s="152"/>
      <c r="O78" s="121" t="s">
        <v>3</v>
      </c>
      <c r="P78" s="152"/>
      <c r="Q78" s="121" t="s">
        <v>3</v>
      </c>
      <c r="R78" s="152"/>
    </row>
    <row r="79" spans="1:18" ht="20.100000000000001" customHeight="1" x14ac:dyDescent="0.2">
      <c r="A79" s="130" t="s">
        <v>10</v>
      </c>
      <c r="B79" s="132" t="s">
        <v>1493</v>
      </c>
      <c r="C79" s="135" t="s">
        <v>1494</v>
      </c>
      <c r="D79" s="285">
        <v>241.28500000000005</v>
      </c>
      <c r="E79" s="121" t="s">
        <v>3</v>
      </c>
      <c r="F79" s="152" t="s">
        <v>3</v>
      </c>
      <c r="G79" s="121" t="s">
        <v>3</v>
      </c>
      <c r="H79" s="152" t="s">
        <v>3</v>
      </c>
      <c r="I79" s="121" t="s">
        <v>3</v>
      </c>
      <c r="J79" s="152" t="s">
        <v>3</v>
      </c>
      <c r="K79" s="121" t="s">
        <v>2</v>
      </c>
      <c r="L79" s="152" t="s">
        <v>2</v>
      </c>
      <c r="M79" s="121" t="s">
        <v>3</v>
      </c>
      <c r="N79" s="152"/>
      <c r="O79" s="121" t="s">
        <v>2</v>
      </c>
      <c r="P79" s="152"/>
      <c r="Q79" s="121" t="s">
        <v>2</v>
      </c>
      <c r="R79" s="152"/>
    </row>
    <row r="80" spans="1:18" ht="20.100000000000001" customHeight="1" x14ac:dyDescent="0.2">
      <c r="A80" s="130" t="s">
        <v>10</v>
      </c>
      <c r="B80" s="132" t="s">
        <v>1495</v>
      </c>
      <c r="C80" s="135" t="s">
        <v>1496</v>
      </c>
      <c r="D80" s="285">
        <v>534.35800000000006</v>
      </c>
      <c r="E80" s="121" t="s">
        <v>3</v>
      </c>
      <c r="F80" s="152" t="s">
        <v>2</v>
      </c>
      <c r="G80" s="121" t="s">
        <v>2</v>
      </c>
      <c r="H80" s="152" t="s">
        <v>2</v>
      </c>
      <c r="I80" s="121" t="s">
        <v>3</v>
      </c>
      <c r="J80" s="152" t="s">
        <v>3</v>
      </c>
      <c r="K80" s="121" t="s">
        <v>2</v>
      </c>
      <c r="L80" s="152" t="s">
        <v>2</v>
      </c>
      <c r="M80" s="121" t="s">
        <v>3</v>
      </c>
      <c r="N80" s="152"/>
      <c r="O80" s="121" t="s">
        <v>2</v>
      </c>
      <c r="P80" s="152"/>
      <c r="Q80" s="121" t="s">
        <v>2</v>
      </c>
      <c r="R80" s="152"/>
    </row>
    <row r="81" spans="1:18" ht="20.100000000000001" customHeight="1" x14ac:dyDescent="0.2">
      <c r="A81" s="130" t="s">
        <v>10</v>
      </c>
      <c r="B81" s="132" t="s">
        <v>1497</v>
      </c>
      <c r="C81" s="135" t="s">
        <v>1498</v>
      </c>
      <c r="D81" s="285">
        <v>1068.7160000000001</v>
      </c>
      <c r="E81" s="121" t="s">
        <v>3</v>
      </c>
      <c r="F81" s="152" t="s">
        <v>2</v>
      </c>
      <c r="G81" s="121" t="s">
        <v>2</v>
      </c>
      <c r="H81" s="152" t="s">
        <v>2</v>
      </c>
      <c r="I81" s="121" t="s">
        <v>3</v>
      </c>
      <c r="J81" s="152" t="s">
        <v>3</v>
      </c>
      <c r="K81" s="121" t="s">
        <v>2</v>
      </c>
      <c r="L81" s="152" t="s">
        <v>2</v>
      </c>
      <c r="M81" s="121" t="s">
        <v>3</v>
      </c>
      <c r="N81" s="152"/>
      <c r="O81" s="121" t="s">
        <v>2</v>
      </c>
      <c r="P81" s="152"/>
      <c r="Q81" s="121" t="s">
        <v>2</v>
      </c>
      <c r="R81" s="152"/>
    </row>
    <row r="82" spans="1:18" ht="20.100000000000001" customHeight="1" x14ac:dyDescent="0.2">
      <c r="A82" s="130" t="s">
        <v>10</v>
      </c>
      <c r="B82" s="132" t="s">
        <v>1499</v>
      </c>
      <c r="C82" s="135" t="s">
        <v>1500</v>
      </c>
      <c r="D82" s="285">
        <v>5.8850000000000007</v>
      </c>
      <c r="E82" s="121" t="s">
        <v>2</v>
      </c>
      <c r="F82" s="152" t="s">
        <v>2</v>
      </c>
      <c r="G82" s="121" t="s">
        <v>2</v>
      </c>
      <c r="H82" s="152" t="s">
        <v>2</v>
      </c>
      <c r="I82" s="121" t="s">
        <v>2</v>
      </c>
      <c r="J82" s="152" t="s">
        <v>2</v>
      </c>
      <c r="K82" s="121" t="s">
        <v>2</v>
      </c>
      <c r="L82" s="152" t="s">
        <v>2</v>
      </c>
      <c r="M82" s="121" t="s">
        <v>2</v>
      </c>
      <c r="N82" s="152"/>
      <c r="O82" s="121" t="s">
        <v>2</v>
      </c>
      <c r="P82" s="152"/>
      <c r="Q82" s="121" t="s">
        <v>2</v>
      </c>
      <c r="R82" s="152"/>
    </row>
    <row r="83" spans="1:18" ht="20.100000000000001" customHeight="1" x14ac:dyDescent="0.2">
      <c r="A83" s="130" t="s">
        <v>10</v>
      </c>
      <c r="B83" s="133" t="s">
        <v>1501</v>
      </c>
      <c r="C83" s="135" t="s">
        <v>1502</v>
      </c>
      <c r="D83" s="297">
        <v>99</v>
      </c>
      <c r="E83" s="121" t="s">
        <v>2</v>
      </c>
      <c r="F83" s="152" t="s">
        <v>2</v>
      </c>
      <c r="G83" s="121" t="s">
        <v>2</v>
      </c>
      <c r="H83" s="152" t="s">
        <v>2</v>
      </c>
      <c r="I83" s="121" t="s">
        <v>2</v>
      </c>
      <c r="J83" s="152" t="s">
        <v>2</v>
      </c>
      <c r="K83" s="121" t="s">
        <v>2</v>
      </c>
      <c r="L83" s="152" t="s">
        <v>2</v>
      </c>
      <c r="M83" s="121" t="s">
        <v>2</v>
      </c>
      <c r="N83" s="152"/>
      <c r="O83" s="121" t="s">
        <v>2</v>
      </c>
      <c r="P83" s="152"/>
      <c r="Q83" s="121" t="s">
        <v>2</v>
      </c>
      <c r="R83" s="152"/>
    </row>
    <row r="84" spans="1:18" ht="20.100000000000001" customHeight="1" x14ac:dyDescent="0.2">
      <c r="A84" s="130" t="s">
        <v>10</v>
      </c>
      <c r="B84" s="132" t="s">
        <v>1503</v>
      </c>
      <c r="C84" s="135" t="s">
        <v>1504</v>
      </c>
      <c r="D84" s="297">
        <v>38.5</v>
      </c>
      <c r="E84" s="121" t="s">
        <v>2</v>
      </c>
      <c r="F84" s="152" t="s">
        <v>2</v>
      </c>
      <c r="G84" s="121" t="s">
        <v>2</v>
      </c>
      <c r="H84" s="152" t="s">
        <v>2</v>
      </c>
      <c r="I84" s="121" t="s">
        <v>2</v>
      </c>
      <c r="J84" s="152" t="s">
        <v>2</v>
      </c>
      <c r="K84" s="121" t="s">
        <v>2</v>
      </c>
      <c r="L84" s="152" t="s">
        <v>2</v>
      </c>
      <c r="M84" s="121" t="s">
        <v>2</v>
      </c>
      <c r="N84" s="152"/>
      <c r="O84" s="121" t="s">
        <v>2</v>
      </c>
      <c r="P84" s="152"/>
      <c r="Q84" s="121" t="s">
        <v>2</v>
      </c>
      <c r="R84" s="152"/>
    </row>
    <row r="85" spans="1:18" ht="20.100000000000001" customHeight="1" x14ac:dyDescent="0.2">
      <c r="A85" s="130" t="s">
        <v>10</v>
      </c>
      <c r="B85" s="132" t="s">
        <v>1505</v>
      </c>
      <c r="C85" s="135" t="s">
        <v>1506</v>
      </c>
      <c r="D85" s="285">
        <v>93.571500000000015</v>
      </c>
      <c r="E85" s="121" t="s">
        <v>3</v>
      </c>
      <c r="F85" s="152" t="s">
        <v>3</v>
      </c>
      <c r="G85" s="121" t="s">
        <v>3</v>
      </c>
      <c r="H85" s="152" t="s">
        <v>3</v>
      </c>
      <c r="I85" s="121" t="s">
        <v>2</v>
      </c>
      <c r="J85" s="152" t="s">
        <v>2</v>
      </c>
      <c r="K85" s="121" t="s">
        <v>3</v>
      </c>
      <c r="L85" s="152" t="s">
        <v>3</v>
      </c>
      <c r="M85" s="121" t="s">
        <v>2</v>
      </c>
      <c r="N85" s="152"/>
      <c r="O85" s="121" t="s">
        <v>3</v>
      </c>
      <c r="P85" s="152"/>
      <c r="Q85" s="121" t="s">
        <v>3</v>
      </c>
      <c r="R85" s="152"/>
    </row>
    <row r="86" spans="1:18" ht="20.100000000000001" customHeight="1" x14ac:dyDescent="0.2">
      <c r="A86" s="130" t="s">
        <v>10</v>
      </c>
      <c r="B86" s="132" t="s">
        <v>1507</v>
      </c>
      <c r="C86" s="135" t="s">
        <v>1508</v>
      </c>
      <c r="D86" s="285">
        <v>474.33100000000002</v>
      </c>
      <c r="E86" s="121" t="s">
        <v>2</v>
      </c>
      <c r="F86" s="152" t="s">
        <v>3</v>
      </c>
      <c r="G86" s="121" t="s">
        <v>3</v>
      </c>
      <c r="H86" s="152" t="s">
        <v>3</v>
      </c>
      <c r="I86" s="121" t="s">
        <v>3</v>
      </c>
      <c r="J86" s="152" t="s">
        <v>3</v>
      </c>
      <c r="K86" s="121" t="s">
        <v>3</v>
      </c>
      <c r="L86" s="152" t="s">
        <v>3</v>
      </c>
      <c r="M86" s="121" t="s">
        <v>3</v>
      </c>
      <c r="N86" s="152"/>
      <c r="O86" s="121" t="s">
        <v>3</v>
      </c>
      <c r="P86" s="152"/>
      <c r="Q86" s="121" t="s">
        <v>3</v>
      </c>
      <c r="R86" s="152"/>
    </row>
    <row r="87" spans="1:18" ht="20.100000000000001" customHeight="1" x14ac:dyDescent="0.2">
      <c r="A87" s="130" t="s">
        <v>10</v>
      </c>
      <c r="B87" s="132" t="s">
        <v>1509</v>
      </c>
      <c r="C87" s="135" t="s">
        <v>1510</v>
      </c>
      <c r="D87" s="285">
        <v>474.33100000000002</v>
      </c>
      <c r="E87" s="121" t="s">
        <v>3</v>
      </c>
      <c r="F87" s="152" t="s">
        <v>2</v>
      </c>
      <c r="G87" s="121" t="s">
        <v>2</v>
      </c>
      <c r="H87" s="152" t="s">
        <v>2</v>
      </c>
      <c r="I87" s="121" t="s">
        <v>3</v>
      </c>
      <c r="J87" s="152" t="s">
        <v>3</v>
      </c>
      <c r="K87" s="121" t="s">
        <v>2</v>
      </c>
      <c r="L87" s="152" t="s">
        <v>2</v>
      </c>
      <c r="M87" s="121" t="s">
        <v>3</v>
      </c>
      <c r="N87" s="152"/>
      <c r="O87" s="121" t="s">
        <v>2</v>
      </c>
      <c r="P87" s="152"/>
      <c r="Q87" s="121" t="s">
        <v>3</v>
      </c>
      <c r="R87" s="152"/>
    </row>
    <row r="88" spans="1:18" ht="20.100000000000001" customHeight="1" x14ac:dyDescent="0.2">
      <c r="A88" s="130" t="s">
        <v>10</v>
      </c>
      <c r="B88" s="132" t="s">
        <v>1511</v>
      </c>
      <c r="C88" s="135" t="s">
        <v>1512</v>
      </c>
      <c r="D88" s="285">
        <v>948.66200000000003</v>
      </c>
      <c r="E88" s="121" t="s">
        <v>3</v>
      </c>
      <c r="F88" s="152" t="s">
        <v>2</v>
      </c>
      <c r="G88" s="121" t="s">
        <v>2</v>
      </c>
      <c r="H88" s="152" t="s">
        <v>2</v>
      </c>
      <c r="I88" s="121" t="s">
        <v>3</v>
      </c>
      <c r="J88" s="152" t="s">
        <v>3</v>
      </c>
      <c r="K88" s="121" t="s">
        <v>2</v>
      </c>
      <c r="L88" s="152" t="s">
        <v>2</v>
      </c>
      <c r="M88" s="121" t="s">
        <v>3</v>
      </c>
      <c r="N88" s="152"/>
      <c r="O88" s="121" t="s">
        <v>2</v>
      </c>
      <c r="P88" s="152"/>
      <c r="Q88" s="121" t="s">
        <v>3</v>
      </c>
      <c r="R88" s="152"/>
    </row>
    <row r="89" spans="1:18" ht="24.95" customHeight="1" x14ac:dyDescent="0.2">
      <c r="A89" s="130" t="s">
        <v>10</v>
      </c>
      <c r="B89" s="132" t="s">
        <v>1513</v>
      </c>
      <c r="C89" s="135" t="s">
        <v>1514</v>
      </c>
      <c r="D89" s="285">
        <v>93.5715</v>
      </c>
      <c r="E89" s="121" t="s">
        <v>3</v>
      </c>
      <c r="F89" s="152" t="s">
        <v>3</v>
      </c>
      <c r="G89" s="121" t="s">
        <v>3</v>
      </c>
      <c r="H89" s="152" t="s">
        <v>3</v>
      </c>
      <c r="I89" s="121" t="s">
        <v>3</v>
      </c>
      <c r="J89" s="152" t="s">
        <v>3</v>
      </c>
      <c r="K89" s="121" t="s">
        <v>3</v>
      </c>
      <c r="L89" s="152" t="s">
        <v>3</v>
      </c>
      <c r="M89" s="121" t="s">
        <v>3</v>
      </c>
      <c r="N89" s="152"/>
      <c r="O89" s="121" t="s">
        <v>3</v>
      </c>
      <c r="P89" s="152"/>
      <c r="Q89" s="121" t="s">
        <v>3</v>
      </c>
      <c r="R89" s="152"/>
    </row>
    <row r="90" spans="1:18" ht="24.95" customHeight="1" x14ac:dyDescent="0.2">
      <c r="A90" s="130" t="s">
        <v>10</v>
      </c>
      <c r="B90" s="132" t="s">
        <v>1515</v>
      </c>
      <c r="C90" s="135" t="s">
        <v>1516</v>
      </c>
      <c r="D90" s="285">
        <v>324.26350000000002</v>
      </c>
      <c r="E90" s="121" t="s">
        <v>2</v>
      </c>
      <c r="F90" s="152" t="s">
        <v>2</v>
      </c>
      <c r="G90" s="121" t="s">
        <v>2</v>
      </c>
      <c r="H90" s="152" t="s">
        <v>2</v>
      </c>
      <c r="I90" s="121" t="s">
        <v>2</v>
      </c>
      <c r="J90" s="152" t="s">
        <v>2</v>
      </c>
      <c r="K90" s="121" t="s">
        <v>2</v>
      </c>
      <c r="L90" s="152" t="s">
        <v>2</v>
      </c>
      <c r="M90" s="121" t="s">
        <v>2</v>
      </c>
      <c r="N90" s="152"/>
      <c r="O90" s="121" t="s">
        <v>2</v>
      </c>
      <c r="P90" s="152"/>
      <c r="Q90" s="121" t="s">
        <v>2</v>
      </c>
      <c r="R90" s="152"/>
    </row>
    <row r="91" spans="1:18" ht="24.95" customHeight="1" x14ac:dyDescent="0.2">
      <c r="A91" s="130" t="s">
        <v>10</v>
      </c>
      <c r="B91" s="132" t="s">
        <v>1517</v>
      </c>
      <c r="C91" s="135" t="s">
        <v>1518</v>
      </c>
      <c r="D91" s="285">
        <v>341.91850000000005</v>
      </c>
      <c r="E91" s="121" t="s">
        <v>2</v>
      </c>
      <c r="F91" s="152" t="s">
        <v>2</v>
      </c>
      <c r="G91" s="121" t="s">
        <v>2</v>
      </c>
      <c r="H91" s="152" t="s">
        <v>2</v>
      </c>
      <c r="I91" s="121" t="s">
        <v>2</v>
      </c>
      <c r="J91" s="152" t="s">
        <v>2</v>
      </c>
      <c r="K91" s="121" t="s">
        <v>2</v>
      </c>
      <c r="L91" s="152" t="s">
        <v>2</v>
      </c>
      <c r="M91" s="121" t="s">
        <v>2</v>
      </c>
      <c r="N91" s="152"/>
      <c r="O91" s="121" t="s">
        <v>2</v>
      </c>
      <c r="P91" s="152"/>
      <c r="Q91" s="121" t="s">
        <v>2</v>
      </c>
      <c r="R91" s="152"/>
    </row>
    <row r="92" spans="1:18" ht="20.100000000000001" customHeight="1" x14ac:dyDescent="0.2">
      <c r="A92" s="130" t="s">
        <v>10</v>
      </c>
      <c r="B92" s="132" t="s">
        <v>1519</v>
      </c>
      <c r="C92" s="135" t="s">
        <v>1520</v>
      </c>
      <c r="D92" s="285">
        <v>154.18700000000004</v>
      </c>
      <c r="E92" s="121" t="s">
        <v>2</v>
      </c>
      <c r="F92" s="152" t="s">
        <v>2</v>
      </c>
      <c r="G92" s="121" t="s">
        <v>2</v>
      </c>
      <c r="H92" s="152" t="s">
        <v>2</v>
      </c>
      <c r="I92" s="121" t="s">
        <v>2</v>
      </c>
      <c r="J92" s="152" t="s">
        <v>2</v>
      </c>
      <c r="K92" s="121" t="s">
        <v>2</v>
      </c>
      <c r="L92" s="152" t="s">
        <v>2</v>
      </c>
      <c r="M92" s="121" t="s">
        <v>2</v>
      </c>
      <c r="N92" s="152"/>
      <c r="O92" s="121" t="s">
        <v>2</v>
      </c>
      <c r="P92" s="152"/>
      <c r="Q92" s="121" t="s">
        <v>2</v>
      </c>
      <c r="R92" s="152"/>
    </row>
    <row r="93" spans="1:18" ht="20.100000000000001" customHeight="1" x14ac:dyDescent="0.2">
      <c r="A93" s="130" t="s">
        <v>10</v>
      </c>
      <c r="B93" s="132" t="s">
        <v>1521</v>
      </c>
      <c r="C93" s="135" t="s">
        <v>1522</v>
      </c>
      <c r="D93" s="285">
        <v>357.21950000000004</v>
      </c>
      <c r="E93" s="121" t="s">
        <v>2</v>
      </c>
      <c r="F93" s="152" t="s">
        <v>2</v>
      </c>
      <c r="G93" s="121" t="s">
        <v>2</v>
      </c>
      <c r="H93" s="152" t="s">
        <v>2</v>
      </c>
      <c r="I93" s="121" t="s">
        <v>2</v>
      </c>
      <c r="J93" s="152" t="s">
        <v>2</v>
      </c>
      <c r="K93" s="121" t="s">
        <v>2</v>
      </c>
      <c r="L93" s="152" t="s">
        <v>2</v>
      </c>
      <c r="M93" s="121" t="s">
        <v>2</v>
      </c>
      <c r="N93" s="152"/>
      <c r="O93" s="121" t="s">
        <v>2</v>
      </c>
      <c r="P93" s="152"/>
      <c r="Q93" s="121" t="s">
        <v>2</v>
      </c>
      <c r="R93" s="152"/>
    </row>
    <row r="94" spans="1:18" ht="20.100000000000001" customHeight="1" x14ac:dyDescent="0.2">
      <c r="A94" s="130" t="s">
        <v>10</v>
      </c>
      <c r="B94" s="132" t="s">
        <v>1523</v>
      </c>
      <c r="C94" s="135" t="s">
        <v>1524</v>
      </c>
      <c r="D94" s="285">
        <v>301.90050000000008</v>
      </c>
      <c r="E94" s="121" t="s">
        <v>2</v>
      </c>
      <c r="F94" s="152" t="s">
        <v>2</v>
      </c>
      <c r="G94" s="121" t="s">
        <v>2</v>
      </c>
      <c r="H94" s="152" t="s">
        <v>2</v>
      </c>
      <c r="I94" s="121" t="s">
        <v>2</v>
      </c>
      <c r="J94" s="152" t="s">
        <v>2</v>
      </c>
      <c r="K94" s="121" t="s">
        <v>2</v>
      </c>
      <c r="L94" s="152" t="s">
        <v>2</v>
      </c>
      <c r="M94" s="121" t="s">
        <v>2</v>
      </c>
      <c r="N94" s="152"/>
      <c r="O94" s="121" t="s">
        <v>2</v>
      </c>
      <c r="P94" s="152"/>
      <c r="Q94" s="121" t="s">
        <v>2</v>
      </c>
      <c r="R94" s="152"/>
    </row>
    <row r="95" spans="1:18" ht="20.100000000000001" customHeight="1" x14ac:dyDescent="0.2">
      <c r="A95" s="130" t="s">
        <v>10</v>
      </c>
      <c r="B95" s="132" t="s">
        <v>1525</v>
      </c>
      <c r="C95" s="135" t="s">
        <v>1526</v>
      </c>
      <c r="D95" s="285">
        <v>85.33250000000001</v>
      </c>
      <c r="E95" s="121" t="s">
        <v>2</v>
      </c>
      <c r="F95" s="152" t="s">
        <v>2</v>
      </c>
      <c r="G95" s="121" t="s">
        <v>2</v>
      </c>
      <c r="H95" s="152" t="s">
        <v>2</v>
      </c>
      <c r="I95" s="121" t="s">
        <v>2</v>
      </c>
      <c r="J95" s="152" t="s">
        <v>2</v>
      </c>
      <c r="K95" s="121" t="s">
        <v>2</v>
      </c>
      <c r="L95" s="152" t="s">
        <v>2</v>
      </c>
      <c r="M95" s="121" t="s">
        <v>2</v>
      </c>
      <c r="N95" s="152"/>
      <c r="O95" s="121" t="s">
        <v>2</v>
      </c>
      <c r="P95" s="152"/>
      <c r="Q95" s="121" t="s">
        <v>2</v>
      </c>
      <c r="R95" s="152"/>
    </row>
    <row r="96" spans="1:18" ht="20.100000000000001" customHeight="1" x14ac:dyDescent="0.2">
      <c r="A96" s="130" t="s">
        <v>10</v>
      </c>
      <c r="B96" s="132" t="s">
        <v>1527</v>
      </c>
      <c r="C96" s="135" t="s">
        <v>1528</v>
      </c>
      <c r="D96" s="285">
        <v>297.1925</v>
      </c>
      <c r="E96" s="121" t="s">
        <v>2</v>
      </c>
      <c r="F96" s="152" t="s">
        <v>2</v>
      </c>
      <c r="G96" s="121" t="s">
        <v>2</v>
      </c>
      <c r="H96" s="152" t="s">
        <v>2</v>
      </c>
      <c r="I96" s="121" t="s">
        <v>2</v>
      </c>
      <c r="J96" s="152" t="s">
        <v>2</v>
      </c>
      <c r="K96" s="121" t="s">
        <v>2</v>
      </c>
      <c r="L96" s="152" t="s">
        <v>2</v>
      </c>
      <c r="M96" s="121" t="s">
        <v>2</v>
      </c>
      <c r="N96" s="152"/>
      <c r="O96" s="121" t="s">
        <v>2</v>
      </c>
      <c r="P96" s="152"/>
      <c r="Q96" s="121" t="s">
        <v>2</v>
      </c>
      <c r="R96" s="152"/>
    </row>
    <row r="97" spans="1:18" ht="20.100000000000001" customHeight="1" x14ac:dyDescent="0.2">
      <c r="A97" s="130" t="s">
        <v>10</v>
      </c>
      <c r="B97" s="132" t="s">
        <v>1529</v>
      </c>
      <c r="C97" s="135" t="s">
        <v>1530</v>
      </c>
      <c r="D97" s="285">
        <v>74.739500000000007</v>
      </c>
      <c r="E97" s="121" t="s">
        <v>2</v>
      </c>
      <c r="F97" s="152" t="s">
        <v>2</v>
      </c>
      <c r="G97" s="121" t="s">
        <v>2</v>
      </c>
      <c r="H97" s="152" t="s">
        <v>2</v>
      </c>
      <c r="I97" s="121" t="s">
        <v>2</v>
      </c>
      <c r="J97" s="152" t="s">
        <v>2</v>
      </c>
      <c r="K97" s="121" t="s">
        <v>2</v>
      </c>
      <c r="L97" s="152" t="s">
        <v>2</v>
      </c>
      <c r="M97" s="121" t="s">
        <v>2</v>
      </c>
      <c r="N97" s="152"/>
      <c r="O97" s="121" t="s">
        <v>2</v>
      </c>
      <c r="P97" s="152"/>
      <c r="Q97" s="121" t="s">
        <v>2</v>
      </c>
      <c r="R97" s="152"/>
    </row>
    <row r="98" spans="1:18" ht="20.100000000000001" customHeight="1" x14ac:dyDescent="0.2">
      <c r="A98" s="130" t="s">
        <v>10</v>
      </c>
      <c r="B98" s="132" t="s">
        <v>1531</v>
      </c>
      <c r="C98" s="135" t="s">
        <v>1532</v>
      </c>
      <c r="D98" s="285">
        <v>236.57700000000003</v>
      </c>
      <c r="E98" s="121" t="s">
        <v>2</v>
      </c>
      <c r="F98" s="152" t="s">
        <v>2</v>
      </c>
      <c r="G98" s="121" t="s">
        <v>2</v>
      </c>
      <c r="H98" s="152" t="s">
        <v>2</v>
      </c>
      <c r="I98" s="121" t="s">
        <v>2</v>
      </c>
      <c r="J98" s="152" t="s">
        <v>2</v>
      </c>
      <c r="K98" s="121" t="s">
        <v>2</v>
      </c>
      <c r="L98" s="152" t="s">
        <v>2</v>
      </c>
      <c r="M98" s="121" t="s">
        <v>2</v>
      </c>
      <c r="N98" s="152"/>
      <c r="O98" s="121" t="s">
        <v>2</v>
      </c>
      <c r="P98" s="152"/>
      <c r="Q98" s="121" t="s">
        <v>2</v>
      </c>
      <c r="R98" s="152"/>
    </row>
    <row r="99" spans="1:18" ht="20.100000000000001" customHeight="1" x14ac:dyDescent="0.2">
      <c r="A99" s="130" t="s">
        <v>10</v>
      </c>
      <c r="B99" s="132" t="s">
        <v>1533</v>
      </c>
      <c r="C99" s="135" t="s">
        <v>1534</v>
      </c>
      <c r="D99" s="285">
        <v>93.571500000000015</v>
      </c>
      <c r="E99" s="121" t="s">
        <v>3</v>
      </c>
      <c r="F99" s="152" t="s">
        <v>3</v>
      </c>
      <c r="G99" s="121" t="s">
        <v>3</v>
      </c>
      <c r="H99" s="152" t="s">
        <v>3</v>
      </c>
      <c r="I99" s="121" t="s">
        <v>2</v>
      </c>
      <c r="J99" s="152" t="s">
        <v>2</v>
      </c>
      <c r="K99" s="121" t="s">
        <v>3</v>
      </c>
      <c r="L99" s="152" t="s">
        <v>3</v>
      </c>
      <c r="M99" s="121" t="s">
        <v>2</v>
      </c>
      <c r="N99" s="152"/>
      <c r="O99" s="121" t="s">
        <v>3</v>
      </c>
      <c r="P99" s="152"/>
      <c r="Q99" s="121" t="s">
        <v>3</v>
      </c>
      <c r="R99" s="152"/>
    </row>
    <row r="100" spans="1:18" ht="20.100000000000001" customHeight="1" x14ac:dyDescent="0.2">
      <c r="A100" s="130" t="s">
        <v>10</v>
      </c>
      <c r="B100" s="132" t="s">
        <v>1535</v>
      </c>
      <c r="C100" s="135" t="s">
        <v>1536</v>
      </c>
      <c r="D100" s="285">
        <v>131.2355</v>
      </c>
      <c r="E100" s="121" t="s">
        <v>3</v>
      </c>
      <c r="F100" s="152" t="s">
        <v>2</v>
      </c>
      <c r="G100" s="121" t="s">
        <v>2</v>
      </c>
      <c r="H100" s="152" t="s">
        <v>2</v>
      </c>
      <c r="I100" s="121" t="s">
        <v>3</v>
      </c>
      <c r="J100" s="152" t="s">
        <v>3</v>
      </c>
      <c r="K100" s="121" t="s">
        <v>3</v>
      </c>
      <c r="L100" s="152" t="s">
        <v>2</v>
      </c>
      <c r="M100" s="121" t="s">
        <v>3</v>
      </c>
      <c r="N100" s="152"/>
      <c r="O100" s="121" t="s">
        <v>2</v>
      </c>
      <c r="P100" s="152"/>
      <c r="Q100" s="121" t="s">
        <v>2</v>
      </c>
      <c r="R100" s="152"/>
    </row>
    <row r="101" spans="1:18" ht="20.100000000000001" customHeight="1" x14ac:dyDescent="0.2">
      <c r="A101" s="130" t="s">
        <v>10</v>
      </c>
      <c r="B101" s="132" t="s">
        <v>1537</v>
      </c>
      <c r="C101" s="135" t="s">
        <v>1538</v>
      </c>
      <c r="D101" s="285">
        <v>131.2355</v>
      </c>
      <c r="E101" s="121" t="s">
        <v>2</v>
      </c>
      <c r="F101" s="152" t="s">
        <v>3</v>
      </c>
      <c r="G101" s="121" t="s">
        <v>3</v>
      </c>
      <c r="H101" s="152" t="s">
        <v>3</v>
      </c>
      <c r="I101" s="121" t="s">
        <v>3</v>
      </c>
      <c r="J101" s="152" t="s">
        <v>3</v>
      </c>
      <c r="K101" s="121" t="s">
        <v>3</v>
      </c>
      <c r="L101" s="152" t="s">
        <v>3</v>
      </c>
      <c r="M101" s="121" t="s">
        <v>3</v>
      </c>
      <c r="N101" s="152"/>
      <c r="O101" s="121" t="s">
        <v>3</v>
      </c>
      <c r="P101" s="152"/>
      <c r="Q101" s="121" t="s">
        <v>3</v>
      </c>
      <c r="R101" s="152"/>
    </row>
    <row r="102" spans="1:18" ht="20.100000000000001" customHeight="1" x14ac:dyDescent="0.2">
      <c r="A102" s="130" t="s">
        <v>10</v>
      </c>
      <c r="B102" s="132" t="s">
        <v>1539</v>
      </c>
      <c r="C102" s="135" t="s">
        <v>1540</v>
      </c>
      <c r="D102" s="285">
        <v>131.2355</v>
      </c>
      <c r="E102" s="121" t="s">
        <v>3</v>
      </c>
      <c r="F102" s="152" t="s">
        <v>2</v>
      </c>
      <c r="G102" s="121" t="s">
        <v>2</v>
      </c>
      <c r="H102" s="152" t="s">
        <v>2</v>
      </c>
      <c r="I102" s="121" t="s">
        <v>3</v>
      </c>
      <c r="J102" s="152" t="s">
        <v>3</v>
      </c>
      <c r="K102" s="121" t="s">
        <v>2</v>
      </c>
      <c r="L102" s="152" t="s">
        <v>3</v>
      </c>
      <c r="M102" s="121" t="s">
        <v>3</v>
      </c>
      <c r="N102" s="152"/>
      <c r="O102" s="121" t="s">
        <v>3</v>
      </c>
      <c r="P102" s="152"/>
      <c r="Q102" s="121" t="s">
        <v>3</v>
      </c>
      <c r="R102" s="152"/>
    </row>
    <row r="103" spans="1:18" ht="20.100000000000001" customHeight="1" x14ac:dyDescent="0.2">
      <c r="A103" s="130" t="s">
        <v>10</v>
      </c>
      <c r="B103" s="132" t="s">
        <v>1541</v>
      </c>
      <c r="C103" s="135" t="s">
        <v>1542</v>
      </c>
      <c r="D103" s="285">
        <v>22.951500000000003</v>
      </c>
      <c r="E103" s="121" t="s">
        <v>3</v>
      </c>
      <c r="F103" s="152" t="s">
        <v>3</v>
      </c>
      <c r="G103" s="121" t="s">
        <v>3</v>
      </c>
      <c r="H103" s="152" t="s">
        <v>3</v>
      </c>
      <c r="I103" s="121" t="s">
        <v>2</v>
      </c>
      <c r="J103" s="152" t="s">
        <v>2</v>
      </c>
      <c r="K103" s="121" t="s">
        <v>3</v>
      </c>
      <c r="L103" s="152" t="s">
        <v>3</v>
      </c>
      <c r="M103" s="121" t="s">
        <v>2</v>
      </c>
      <c r="N103" s="152"/>
      <c r="O103" s="121" t="s">
        <v>3</v>
      </c>
      <c r="P103" s="152"/>
      <c r="Q103" s="121" t="s">
        <v>3</v>
      </c>
      <c r="R103" s="152"/>
    </row>
    <row r="104" spans="1:18" ht="20.100000000000001" customHeight="1" x14ac:dyDescent="0.2">
      <c r="A104" s="130" t="s">
        <v>10</v>
      </c>
      <c r="B104" s="132" t="s">
        <v>1543</v>
      </c>
      <c r="C104" s="135" t="s">
        <v>1544</v>
      </c>
      <c r="D104" s="285">
        <v>117.11150000000001</v>
      </c>
      <c r="E104" s="121" t="s">
        <v>2</v>
      </c>
      <c r="F104" s="152" t="s">
        <v>2</v>
      </c>
      <c r="G104" s="121" t="s">
        <v>2</v>
      </c>
      <c r="H104" s="152" t="s">
        <v>2</v>
      </c>
      <c r="I104" s="121" t="s">
        <v>3</v>
      </c>
      <c r="J104" s="152" t="s">
        <v>3</v>
      </c>
      <c r="K104" s="121" t="s">
        <v>2</v>
      </c>
      <c r="L104" s="152" t="s">
        <v>2</v>
      </c>
      <c r="M104" s="121" t="s">
        <v>3</v>
      </c>
      <c r="N104" s="152"/>
      <c r="O104" s="121" t="s">
        <v>2</v>
      </c>
      <c r="P104" s="152"/>
      <c r="Q104" s="121" t="s">
        <v>3</v>
      </c>
      <c r="R104" s="152"/>
    </row>
    <row r="105" spans="1:18" ht="20.100000000000001" customHeight="1" x14ac:dyDescent="0.2">
      <c r="A105" s="130" t="s">
        <v>10</v>
      </c>
      <c r="B105" s="132" t="s">
        <v>1545</v>
      </c>
      <c r="C105" s="135" t="s">
        <v>1546</v>
      </c>
      <c r="D105" s="285">
        <v>64.146500000000003</v>
      </c>
      <c r="E105" s="121" t="s">
        <v>3</v>
      </c>
      <c r="F105" s="152" t="s">
        <v>3</v>
      </c>
      <c r="G105" s="121" t="s">
        <v>3</v>
      </c>
      <c r="H105" s="152" t="s">
        <v>3</v>
      </c>
      <c r="I105" s="121" t="s">
        <v>2</v>
      </c>
      <c r="J105" s="152" t="s">
        <v>2</v>
      </c>
      <c r="K105" s="121" t="s">
        <v>3</v>
      </c>
      <c r="L105" s="152" t="s">
        <v>3</v>
      </c>
      <c r="M105" s="121" t="s">
        <v>2</v>
      </c>
      <c r="N105" s="152"/>
      <c r="O105" s="121" t="s">
        <v>3</v>
      </c>
      <c r="P105" s="152"/>
      <c r="Q105" s="121" t="s">
        <v>3</v>
      </c>
      <c r="R105" s="152"/>
    </row>
    <row r="106" spans="1:18" ht="20.100000000000001" customHeight="1" x14ac:dyDescent="0.2">
      <c r="A106" s="130" t="s">
        <v>10</v>
      </c>
      <c r="B106" s="132" t="s">
        <v>1547</v>
      </c>
      <c r="C106" s="135" t="s">
        <v>1548</v>
      </c>
      <c r="D106" s="285">
        <v>45.314500000000002</v>
      </c>
      <c r="E106" s="121" t="s">
        <v>3</v>
      </c>
      <c r="F106" s="152" t="s">
        <v>3</v>
      </c>
      <c r="G106" s="121" t="s">
        <v>3</v>
      </c>
      <c r="H106" s="152" t="s">
        <v>3</v>
      </c>
      <c r="I106" s="121" t="s">
        <v>2</v>
      </c>
      <c r="J106" s="152" t="s">
        <v>2</v>
      </c>
      <c r="K106" s="121" t="s">
        <v>3</v>
      </c>
      <c r="L106" s="152" t="s">
        <v>3</v>
      </c>
      <c r="M106" s="121" t="s">
        <v>2</v>
      </c>
      <c r="N106" s="152"/>
      <c r="O106" s="121" t="s">
        <v>3</v>
      </c>
      <c r="P106" s="152"/>
      <c r="Q106" s="121" t="s">
        <v>3</v>
      </c>
      <c r="R106" s="152"/>
    </row>
    <row r="107" spans="1:18" ht="20.100000000000001" customHeight="1" x14ac:dyDescent="0.2">
      <c r="A107" s="130" t="s">
        <v>10</v>
      </c>
      <c r="B107" s="132" t="s">
        <v>1549</v>
      </c>
      <c r="C107" s="135" t="s">
        <v>1550</v>
      </c>
      <c r="D107" s="285">
        <v>69.443000000000012</v>
      </c>
      <c r="E107" s="121" t="s">
        <v>2</v>
      </c>
      <c r="F107" s="152" t="s">
        <v>2</v>
      </c>
      <c r="G107" s="121" t="s">
        <v>2</v>
      </c>
      <c r="H107" s="152" t="s">
        <v>2</v>
      </c>
      <c r="I107" s="121" t="s">
        <v>3</v>
      </c>
      <c r="J107" s="152" t="s">
        <v>3</v>
      </c>
      <c r="K107" s="121" t="s">
        <v>2</v>
      </c>
      <c r="L107" s="152" t="s">
        <v>2</v>
      </c>
      <c r="M107" s="121" t="s">
        <v>3</v>
      </c>
      <c r="N107" s="152"/>
      <c r="O107" s="121" t="s">
        <v>2</v>
      </c>
      <c r="P107" s="152"/>
      <c r="Q107" s="121" t="s">
        <v>2</v>
      </c>
      <c r="R107" s="152"/>
    </row>
    <row r="108" spans="1:18" ht="20.100000000000001" customHeight="1" x14ac:dyDescent="0.2">
      <c r="A108" s="130" t="s">
        <v>10</v>
      </c>
      <c r="B108" s="132" t="s">
        <v>1551</v>
      </c>
      <c r="C108" s="135" t="s">
        <v>1552</v>
      </c>
      <c r="D108" s="285">
        <v>174.19600000000003</v>
      </c>
      <c r="E108" s="121" t="s">
        <v>3</v>
      </c>
      <c r="F108" s="152" t="s">
        <v>2</v>
      </c>
      <c r="G108" s="121" t="s">
        <v>2</v>
      </c>
      <c r="H108" s="152" t="s">
        <v>2</v>
      </c>
      <c r="I108" s="121" t="s">
        <v>3</v>
      </c>
      <c r="J108" s="152" t="s">
        <v>3</v>
      </c>
      <c r="K108" s="121" t="s">
        <v>3</v>
      </c>
      <c r="L108" s="152" t="s">
        <v>3</v>
      </c>
      <c r="M108" s="121" t="s">
        <v>3</v>
      </c>
      <c r="N108" s="152"/>
      <c r="O108" s="121" t="s">
        <v>3</v>
      </c>
      <c r="P108" s="152"/>
      <c r="Q108" s="121" t="s">
        <v>3</v>
      </c>
      <c r="R108" s="152"/>
    </row>
    <row r="109" spans="1:18" ht="20.100000000000001" customHeight="1" x14ac:dyDescent="0.2">
      <c r="A109" s="130" t="s">
        <v>10</v>
      </c>
      <c r="B109" s="132" t="s">
        <v>1553</v>
      </c>
      <c r="C109" s="135" t="s">
        <v>1554</v>
      </c>
      <c r="D109" s="285">
        <v>174.19600000000003</v>
      </c>
      <c r="E109" s="121" t="s">
        <v>2</v>
      </c>
      <c r="F109" s="152" t="s">
        <v>3</v>
      </c>
      <c r="G109" s="121" t="s">
        <v>3</v>
      </c>
      <c r="H109" s="152" t="s">
        <v>3</v>
      </c>
      <c r="I109" s="121" t="s">
        <v>3</v>
      </c>
      <c r="J109" s="152" t="s">
        <v>3</v>
      </c>
      <c r="K109" s="121" t="s">
        <v>3</v>
      </c>
      <c r="L109" s="152" t="s">
        <v>3</v>
      </c>
      <c r="M109" s="121" t="s">
        <v>3</v>
      </c>
      <c r="N109" s="152"/>
      <c r="O109" s="121" t="s">
        <v>3</v>
      </c>
      <c r="P109" s="152"/>
      <c r="Q109" s="121" t="s">
        <v>3</v>
      </c>
      <c r="R109" s="152"/>
    </row>
    <row r="110" spans="1:18" ht="20.100000000000001" customHeight="1" x14ac:dyDescent="0.2">
      <c r="A110" s="130" t="s">
        <v>10</v>
      </c>
      <c r="B110" s="132" t="s">
        <v>1555</v>
      </c>
      <c r="C110" s="135" t="s">
        <v>1556</v>
      </c>
      <c r="D110" s="285">
        <v>300.13499999999999</v>
      </c>
      <c r="E110" s="121" t="s">
        <v>2</v>
      </c>
      <c r="F110" s="152" t="s">
        <v>2</v>
      </c>
      <c r="G110" s="121" t="s">
        <v>2</v>
      </c>
      <c r="H110" s="152" t="s">
        <v>2</v>
      </c>
      <c r="I110" s="121" t="s">
        <v>3</v>
      </c>
      <c r="J110" s="152" t="s">
        <v>3</v>
      </c>
      <c r="K110" s="121" t="s">
        <v>3</v>
      </c>
      <c r="L110" s="152" t="s">
        <v>3</v>
      </c>
      <c r="M110" s="121" t="s">
        <v>3</v>
      </c>
      <c r="N110" s="152"/>
      <c r="O110" s="121" t="s">
        <v>3</v>
      </c>
      <c r="P110" s="152"/>
      <c r="Q110" s="121" t="s">
        <v>3</v>
      </c>
      <c r="R110" s="152"/>
    </row>
    <row r="111" spans="1:18" ht="20.100000000000001" customHeight="1" x14ac:dyDescent="0.2">
      <c r="A111" s="130" t="s">
        <v>10</v>
      </c>
      <c r="B111" s="132" t="s">
        <v>1557</v>
      </c>
      <c r="C111" s="135" t="s">
        <v>1558</v>
      </c>
      <c r="D111" s="285">
        <v>450.20250000000004</v>
      </c>
      <c r="E111" s="121" t="s">
        <v>2</v>
      </c>
      <c r="F111" s="152" t="s">
        <v>2</v>
      </c>
      <c r="G111" s="121" t="s">
        <v>2</v>
      </c>
      <c r="H111" s="152" t="s">
        <v>2</v>
      </c>
      <c r="I111" s="121" t="s">
        <v>3</v>
      </c>
      <c r="J111" s="152" t="s">
        <v>3</v>
      </c>
      <c r="K111" s="121" t="s">
        <v>2</v>
      </c>
      <c r="L111" s="152" t="s">
        <v>2</v>
      </c>
      <c r="M111" s="121" t="s">
        <v>3</v>
      </c>
      <c r="N111" s="152"/>
      <c r="O111" s="121" t="s">
        <v>2</v>
      </c>
      <c r="P111" s="152"/>
      <c r="Q111" s="121" t="s">
        <v>3</v>
      </c>
      <c r="R111" s="152"/>
    </row>
    <row r="112" spans="1:18" ht="20.100000000000001" customHeight="1" x14ac:dyDescent="0.2">
      <c r="A112" s="130" t="s">
        <v>10</v>
      </c>
      <c r="B112" s="132" t="s">
        <v>1559</v>
      </c>
      <c r="C112" s="135" t="s">
        <v>1560</v>
      </c>
      <c r="D112" s="285">
        <v>127.70450000000001</v>
      </c>
      <c r="E112" s="121" t="s">
        <v>2</v>
      </c>
      <c r="F112" s="152" t="s">
        <v>3</v>
      </c>
      <c r="G112" s="121" t="s">
        <v>3</v>
      </c>
      <c r="H112" s="152" t="s">
        <v>3</v>
      </c>
      <c r="I112" s="121" t="s">
        <v>3</v>
      </c>
      <c r="J112" s="152" t="s">
        <v>3</v>
      </c>
      <c r="K112" s="121" t="s">
        <v>3</v>
      </c>
      <c r="L112" s="152" t="s">
        <v>2</v>
      </c>
      <c r="M112" s="121" t="s">
        <v>3</v>
      </c>
      <c r="N112" s="152"/>
      <c r="O112" s="121" t="s">
        <v>2</v>
      </c>
      <c r="P112" s="152"/>
      <c r="Q112" s="121" t="s">
        <v>1762</v>
      </c>
      <c r="R112" s="152"/>
    </row>
    <row r="113" spans="1:18" ht="20.100000000000001" customHeight="1" x14ac:dyDescent="0.2">
      <c r="A113" s="130" t="s">
        <v>10</v>
      </c>
      <c r="B113" s="132" t="s">
        <v>1561</v>
      </c>
      <c r="C113" s="135" t="s">
        <v>1562</v>
      </c>
      <c r="D113" s="285">
        <v>480.21600000000007</v>
      </c>
      <c r="E113" s="121" t="s">
        <v>2</v>
      </c>
      <c r="F113" s="152" t="s">
        <v>3</v>
      </c>
      <c r="G113" s="121" t="s">
        <v>3</v>
      </c>
      <c r="H113" s="152" t="s">
        <v>3</v>
      </c>
      <c r="I113" s="121" t="s">
        <v>3</v>
      </c>
      <c r="J113" s="152" t="s">
        <v>3</v>
      </c>
      <c r="K113" s="121" t="s">
        <v>3</v>
      </c>
      <c r="L113" s="152" t="s">
        <v>2</v>
      </c>
      <c r="M113" s="121" t="s">
        <v>3</v>
      </c>
      <c r="N113" s="152"/>
      <c r="O113" s="121" t="s">
        <v>2</v>
      </c>
      <c r="P113" s="152"/>
      <c r="Q113" s="121" t="s">
        <v>1762</v>
      </c>
      <c r="R113" s="152"/>
    </row>
    <row r="114" spans="1:18" ht="20.100000000000001" customHeight="1" x14ac:dyDescent="0.2">
      <c r="A114" s="130" t="s">
        <v>10</v>
      </c>
      <c r="B114" s="133" t="s">
        <v>1563</v>
      </c>
      <c r="C114" s="135" t="s">
        <v>1564</v>
      </c>
      <c r="D114" s="285">
        <v>219.51050000000001</v>
      </c>
      <c r="E114" s="121" t="s">
        <v>3</v>
      </c>
      <c r="F114" s="152" t="s">
        <v>3</v>
      </c>
      <c r="G114" s="121" t="s">
        <v>3</v>
      </c>
      <c r="H114" s="152" t="s">
        <v>3</v>
      </c>
      <c r="I114" s="121" t="s">
        <v>3</v>
      </c>
      <c r="J114" s="152" t="s">
        <v>3</v>
      </c>
      <c r="K114" s="121" t="s">
        <v>2</v>
      </c>
      <c r="L114" s="152" t="s">
        <v>2</v>
      </c>
      <c r="M114" s="121" t="s">
        <v>3</v>
      </c>
      <c r="N114" s="152"/>
      <c r="O114" s="121" t="s">
        <v>2</v>
      </c>
      <c r="P114" s="152"/>
      <c r="Q114" s="121" t="s">
        <v>2</v>
      </c>
      <c r="R114" s="152"/>
    </row>
    <row r="115" spans="1:18" ht="20.100000000000001" customHeight="1" x14ac:dyDescent="0.2">
      <c r="A115" s="130" t="s">
        <v>10</v>
      </c>
      <c r="B115" s="132" t="s">
        <v>1565</v>
      </c>
      <c r="C115" s="135" t="s">
        <v>1566</v>
      </c>
      <c r="D115" s="285">
        <v>57.084500000000006</v>
      </c>
      <c r="E115" s="121" t="s">
        <v>2</v>
      </c>
      <c r="F115" s="152" t="s">
        <v>2</v>
      </c>
      <c r="G115" s="121" t="s">
        <v>2</v>
      </c>
      <c r="H115" s="152" t="s">
        <v>2</v>
      </c>
      <c r="I115" s="121" t="s">
        <v>2</v>
      </c>
      <c r="J115" s="152" t="s">
        <v>2</v>
      </c>
      <c r="K115" s="121" t="s">
        <v>2</v>
      </c>
      <c r="L115" s="152" t="s">
        <v>2</v>
      </c>
      <c r="M115" s="121" t="s">
        <v>2</v>
      </c>
      <c r="N115" s="152"/>
      <c r="O115" s="121" t="s">
        <v>2</v>
      </c>
      <c r="P115" s="152"/>
      <c r="Q115" s="121" t="s">
        <v>2</v>
      </c>
      <c r="R115" s="152"/>
    </row>
    <row r="116" spans="1:18" ht="20.100000000000001" customHeight="1" x14ac:dyDescent="0.2">
      <c r="A116" s="130" t="s">
        <v>10</v>
      </c>
      <c r="B116" s="132" t="s">
        <v>1567</v>
      </c>
      <c r="C116" s="135" t="s">
        <v>1568</v>
      </c>
      <c r="D116" s="285">
        <v>79.447500000000005</v>
      </c>
      <c r="E116" s="121" t="s">
        <v>3</v>
      </c>
      <c r="F116" s="152" t="s">
        <v>3</v>
      </c>
      <c r="G116" s="121" t="s">
        <v>3</v>
      </c>
      <c r="H116" s="152" t="s">
        <v>3</v>
      </c>
      <c r="I116" s="121" t="s">
        <v>2</v>
      </c>
      <c r="J116" s="152" t="s">
        <v>2</v>
      </c>
      <c r="K116" s="121" t="s">
        <v>3</v>
      </c>
      <c r="L116" s="152" t="s">
        <v>3</v>
      </c>
      <c r="M116" s="121" t="s">
        <v>2</v>
      </c>
      <c r="N116" s="152"/>
      <c r="O116" s="121" t="s">
        <v>3</v>
      </c>
      <c r="P116" s="152"/>
      <c r="Q116" s="121" t="s">
        <v>3</v>
      </c>
      <c r="R116" s="152"/>
    </row>
    <row r="117" spans="1:18" ht="20.100000000000001" customHeight="1" x14ac:dyDescent="0.2">
      <c r="A117" s="130" t="s">
        <v>10</v>
      </c>
      <c r="B117" s="132" t="s">
        <v>1569</v>
      </c>
      <c r="C117" s="135" t="s">
        <v>1570</v>
      </c>
      <c r="D117" s="285">
        <v>210.68300000000002</v>
      </c>
      <c r="E117" s="121" t="s">
        <v>2</v>
      </c>
      <c r="F117" s="152" t="s">
        <v>2</v>
      </c>
      <c r="G117" s="121" t="s">
        <v>2</v>
      </c>
      <c r="H117" s="152" t="s">
        <v>2</v>
      </c>
      <c r="I117" s="121" t="s">
        <v>3</v>
      </c>
      <c r="J117" s="152" t="s">
        <v>3</v>
      </c>
      <c r="K117" s="121" t="s">
        <v>2</v>
      </c>
      <c r="L117" s="152" t="s">
        <v>2</v>
      </c>
      <c r="M117" s="121" t="s">
        <v>3</v>
      </c>
      <c r="N117" s="152"/>
      <c r="O117" s="121" t="s">
        <v>2</v>
      </c>
      <c r="P117" s="152"/>
      <c r="Q117" s="121" t="s">
        <v>2</v>
      </c>
      <c r="R117" s="152"/>
    </row>
    <row r="118" spans="1:18" ht="20.100000000000001" customHeight="1" x14ac:dyDescent="0.2">
      <c r="A118" s="130" t="s">
        <v>10</v>
      </c>
      <c r="B118" s="132" t="s">
        <v>1445</v>
      </c>
      <c r="C118" s="135" t="s">
        <v>1446</v>
      </c>
      <c r="D118" s="285">
        <v>69.443000000000012</v>
      </c>
      <c r="E118" s="121" t="s">
        <v>3</v>
      </c>
      <c r="F118" s="152" t="s">
        <v>2</v>
      </c>
      <c r="G118" s="121" t="s">
        <v>2</v>
      </c>
      <c r="H118" s="152" t="s">
        <v>2</v>
      </c>
      <c r="I118" s="121" t="s">
        <v>3</v>
      </c>
      <c r="J118" s="152" t="s">
        <v>3</v>
      </c>
      <c r="K118" s="121" t="s">
        <v>2</v>
      </c>
      <c r="L118" s="152" t="s">
        <v>3</v>
      </c>
      <c r="M118" s="121" t="s">
        <v>3</v>
      </c>
      <c r="N118" s="152"/>
      <c r="O118" s="121" t="s">
        <v>2</v>
      </c>
      <c r="P118" s="152"/>
      <c r="Q118" s="121" t="s">
        <v>2</v>
      </c>
      <c r="R118" s="152"/>
    </row>
    <row r="119" spans="1:18" ht="30" customHeight="1" x14ac:dyDescent="0.2">
      <c r="A119" s="130" t="s">
        <v>10</v>
      </c>
      <c r="B119" s="132" t="s">
        <v>1571</v>
      </c>
      <c r="C119" s="135" t="s">
        <v>1572</v>
      </c>
      <c r="D119" s="285">
        <v>4424.1429099999996</v>
      </c>
      <c r="E119" s="121" t="s">
        <v>3</v>
      </c>
      <c r="F119" s="152" t="s">
        <v>2</v>
      </c>
      <c r="G119" s="121" t="s">
        <v>2</v>
      </c>
      <c r="H119" s="152" t="s">
        <v>2</v>
      </c>
      <c r="I119" s="121" t="s">
        <v>3</v>
      </c>
      <c r="J119" s="152" t="s">
        <v>3</v>
      </c>
      <c r="K119" s="121" t="s">
        <v>3</v>
      </c>
      <c r="L119" s="152" t="s">
        <v>3</v>
      </c>
      <c r="M119" s="121" t="s">
        <v>3</v>
      </c>
      <c r="N119" s="152"/>
      <c r="O119" s="121" t="s">
        <v>3</v>
      </c>
      <c r="P119" s="152"/>
      <c r="Q119" s="121" t="s">
        <v>3</v>
      </c>
      <c r="R119" s="152"/>
    </row>
    <row r="120" spans="1:18" ht="30" customHeight="1" x14ac:dyDescent="0.2">
      <c r="A120" s="130" t="s">
        <v>10</v>
      </c>
      <c r="B120" s="133" t="s">
        <v>1573</v>
      </c>
      <c r="C120" s="135" t="s">
        <v>1574</v>
      </c>
      <c r="D120" s="285">
        <v>4424.1429099999996</v>
      </c>
      <c r="E120" s="121" t="s">
        <v>3</v>
      </c>
      <c r="F120" s="152" t="s">
        <v>3</v>
      </c>
      <c r="G120" s="121" t="s">
        <v>3</v>
      </c>
      <c r="H120" s="152" t="s">
        <v>3</v>
      </c>
      <c r="I120" s="121" t="s">
        <v>3</v>
      </c>
      <c r="J120" s="152" t="s">
        <v>3</v>
      </c>
      <c r="K120" s="121" t="s">
        <v>2</v>
      </c>
      <c r="L120" s="152" t="s">
        <v>2</v>
      </c>
      <c r="M120" s="121" t="s">
        <v>3</v>
      </c>
      <c r="N120" s="152"/>
      <c r="O120" s="121" t="s">
        <v>2</v>
      </c>
      <c r="P120" s="152"/>
      <c r="Q120" s="121" t="s">
        <v>3</v>
      </c>
      <c r="R120" s="152"/>
    </row>
    <row r="121" spans="1:18" ht="20.100000000000001" customHeight="1" x14ac:dyDescent="0.2">
      <c r="A121" s="130" t="s">
        <v>10</v>
      </c>
      <c r="B121" s="132" t="s">
        <v>1575</v>
      </c>
      <c r="C121" s="135" t="s">
        <v>1576</v>
      </c>
      <c r="D121" s="285">
        <v>51.788000000000004</v>
      </c>
      <c r="E121" s="121" t="s">
        <v>3</v>
      </c>
      <c r="F121" s="152" t="s">
        <v>3</v>
      </c>
      <c r="G121" s="121" t="s">
        <v>3</v>
      </c>
      <c r="H121" s="152" t="s">
        <v>3</v>
      </c>
      <c r="I121" s="121" t="s">
        <v>3</v>
      </c>
      <c r="J121" s="152" t="s">
        <v>3</v>
      </c>
      <c r="K121" s="121" t="s">
        <v>2</v>
      </c>
      <c r="L121" s="152" t="s">
        <v>2</v>
      </c>
      <c r="M121" s="121" t="s">
        <v>3</v>
      </c>
      <c r="N121" s="152"/>
      <c r="O121" s="121" t="s">
        <v>2</v>
      </c>
      <c r="P121" s="152"/>
      <c r="Q121" s="121" t="s">
        <v>2</v>
      </c>
      <c r="R121" s="152"/>
    </row>
    <row r="122" spans="1:18" ht="20.100000000000001" customHeight="1" x14ac:dyDescent="0.2">
      <c r="A122" s="130" t="s">
        <v>10</v>
      </c>
      <c r="B122" s="132" t="s">
        <v>1577</v>
      </c>
      <c r="C122" s="135" t="s">
        <v>1578</v>
      </c>
      <c r="D122" s="285">
        <v>28.4834</v>
      </c>
      <c r="E122" s="121" t="s">
        <v>3</v>
      </c>
      <c r="F122" s="152" t="s">
        <v>3</v>
      </c>
      <c r="G122" s="121" t="s">
        <v>3</v>
      </c>
      <c r="H122" s="152" t="s">
        <v>3</v>
      </c>
      <c r="I122" s="121" t="s">
        <v>3</v>
      </c>
      <c r="J122" s="152" t="s">
        <v>3</v>
      </c>
      <c r="K122" s="121" t="s">
        <v>2</v>
      </c>
      <c r="L122" s="152" t="s">
        <v>2</v>
      </c>
      <c r="M122" s="121" t="s">
        <v>3</v>
      </c>
      <c r="N122" s="152"/>
      <c r="O122" s="121" t="s">
        <v>2</v>
      </c>
      <c r="P122" s="152"/>
      <c r="Q122" s="121" t="s">
        <v>2</v>
      </c>
      <c r="R122" s="152"/>
    </row>
    <row r="123" spans="1:18" ht="20.100000000000001" customHeight="1" x14ac:dyDescent="0.2">
      <c r="A123" s="130" t="s">
        <v>10</v>
      </c>
      <c r="B123" s="132" t="s">
        <v>1579</v>
      </c>
      <c r="C123" s="135" t="s">
        <v>1580</v>
      </c>
      <c r="D123" s="285">
        <v>1909.0940000000001</v>
      </c>
      <c r="E123" s="121" t="s">
        <v>3</v>
      </c>
      <c r="F123" s="152" t="s">
        <v>3</v>
      </c>
      <c r="G123" s="121" t="s">
        <v>3</v>
      </c>
      <c r="H123" s="152" t="s">
        <v>3</v>
      </c>
      <c r="I123" s="121" t="s">
        <v>3</v>
      </c>
      <c r="J123" s="152" t="s">
        <v>3</v>
      </c>
      <c r="K123" s="121" t="s">
        <v>3</v>
      </c>
      <c r="L123" s="152" t="s">
        <v>3</v>
      </c>
      <c r="M123" s="121" t="s">
        <v>3</v>
      </c>
      <c r="N123" s="152"/>
      <c r="O123" s="121" t="s">
        <v>3</v>
      </c>
      <c r="P123" s="152"/>
      <c r="Q123" s="121" t="s">
        <v>2</v>
      </c>
      <c r="R123" s="152"/>
    </row>
    <row r="124" spans="1:18" ht="20.100000000000001" customHeight="1" x14ac:dyDescent="0.2">
      <c r="A124" s="130" t="s">
        <v>10</v>
      </c>
      <c r="B124" s="132" t="s">
        <v>1581</v>
      </c>
      <c r="C124" s="135" t="s">
        <v>1582</v>
      </c>
      <c r="D124" s="285">
        <v>1029.8750000000002</v>
      </c>
      <c r="E124" s="121" t="s">
        <v>3</v>
      </c>
      <c r="F124" s="152" t="s">
        <v>3</v>
      </c>
      <c r="G124" s="121" t="s">
        <v>3</v>
      </c>
      <c r="H124" s="152" t="s">
        <v>3</v>
      </c>
      <c r="I124" s="121" t="s">
        <v>3</v>
      </c>
      <c r="J124" s="152" t="s">
        <v>3</v>
      </c>
      <c r="K124" s="121" t="s">
        <v>3</v>
      </c>
      <c r="L124" s="152" t="s">
        <v>3</v>
      </c>
      <c r="M124" s="121" t="s">
        <v>3</v>
      </c>
      <c r="N124" s="152"/>
      <c r="O124" s="121" t="s">
        <v>3</v>
      </c>
      <c r="P124" s="152"/>
      <c r="Q124" s="121" t="s">
        <v>2</v>
      </c>
      <c r="R124" s="152"/>
    </row>
    <row r="125" spans="1:18" ht="20.100000000000001" customHeight="1" x14ac:dyDescent="0.2">
      <c r="A125" s="130" t="s">
        <v>10</v>
      </c>
      <c r="B125" s="132" t="s">
        <v>1583</v>
      </c>
      <c r="C125" s="135" t="s">
        <v>1584</v>
      </c>
      <c r="D125" s="285">
        <v>834.49300000000017</v>
      </c>
      <c r="E125" s="121" t="s">
        <v>3</v>
      </c>
      <c r="F125" s="152" t="s">
        <v>3</v>
      </c>
      <c r="G125" s="121" t="s">
        <v>3</v>
      </c>
      <c r="H125" s="152" t="s">
        <v>3</v>
      </c>
      <c r="I125" s="121" t="s">
        <v>3</v>
      </c>
      <c r="J125" s="152" t="s">
        <v>3</v>
      </c>
      <c r="K125" s="121" t="s">
        <v>3</v>
      </c>
      <c r="L125" s="152" t="s">
        <v>3</v>
      </c>
      <c r="M125" s="121" t="s">
        <v>3</v>
      </c>
      <c r="N125" s="152"/>
      <c r="O125" s="121" t="s">
        <v>3</v>
      </c>
      <c r="P125" s="152"/>
      <c r="Q125" s="121" t="s">
        <v>2</v>
      </c>
      <c r="R125" s="152"/>
    </row>
    <row r="126" spans="1:18" ht="20.100000000000001" customHeight="1" x14ac:dyDescent="0.2">
      <c r="A126" s="130" t="s">
        <v>10</v>
      </c>
      <c r="B126" s="132" t="s">
        <v>1585</v>
      </c>
      <c r="C126" s="135" t="s">
        <v>1586</v>
      </c>
      <c r="D126" s="285">
        <v>906.87850000000014</v>
      </c>
      <c r="E126" s="121" t="s">
        <v>3</v>
      </c>
      <c r="F126" s="152" t="s">
        <v>3</v>
      </c>
      <c r="G126" s="121" t="s">
        <v>3</v>
      </c>
      <c r="H126" s="152" t="s">
        <v>3</v>
      </c>
      <c r="I126" s="121" t="s">
        <v>3</v>
      </c>
      <c r="J126" s="152" t="s">
        <v>3</v>
      </c>
      <c r="K126" s="121" t="s">
        <v>3</v>
      </c>
      <c r="L126" s="152" t="s">
        <v>3</v>
      </c>
      <c r="M126" s="121" t="s">
        <v>3</v>
      </c>
      <c r="N126" s="152"/>
      <c r="O126" s="121" t="s">
        <v>2</v>
      </c>
      <c r="P126" s="152"/>
      <c r="Q126" s="121" t="s">
        <v>2</v>
      </c>
      <c r="R126" s="152"/>
    </row>
    <row r="127" spans="1:18" ht="20.100000000000001" customHeight="1" x14ac:dyDescent="0.2">
      <c r="A127" s="130" t="s">
        <v>10</v>
      </c>
      <c r="B127" s="132" t="s">
        <v>1587</v>
      </c>
      <c r="C127" s="135" t="s">
        <v>1588</v>
      </c>
      <c r="D127" s="285">
        <v>1405.3380000000002</v>
      </c>
      <c r="E127" s="121" t="s">
        <v>3</v>
      </c>
      <c r="F127" s="152" t="s">
        <v>3</v>
      </c>
      <c r="G127" s="121" t="s">
        <v>3</v>
      </c>
      <c r="H127" s="152" t="s">
        <v>3</v>
      </c>
      <c r="I127" s="121" t="s">
        <v>3</v>
      </c>
      <c r="J127" s="152" t="s">
        <v>3</v>
      </c>
      <c r="K127" s="121" t="s">
        <v>3</v>
      </c>
      <c r="L127" s="152" t="s">
        <v>3</v>
      </c>
      <c r="M127" s="121" t="s">
        <v>3</v>
      </c>
      <c r="N127" s="152"/>
      <c r="O127" s="121" t="s">
        <v>3</v>
      </c>
      <c r="P127" s="152"/>
      <c r="Q127" s="121" t="s">
        <v>2</v>
      </c>
      <c r="R127" s="152"/>
    </row>
    <row r="128" spans="1:18" ht="20.100000000000001" customHeight="1" x14ac:dyDescent="0.2">
      <c r="A128" s="130" t="s">
        <v>10</v>
      </c>
      <c r="B128" s="132" t="s">
        <v>1589</v>
      </c>
      <c r="C128" s="135" t="s">
        <v>1590</v>
      </c>
      <c r="D128" s="285">
        <v>1807.2835000000002</v>
      </c>
      <c r="E128" s="121" t="s">
        <v>3</v>
      </c>
      <c r="F128" s="152" t="s">
        <v>3</v>
      </c>
      <c r="G128" s="121" t="s">
        <v>3</v>
      </c>
      <c r="H128" s="152" t="s">
        <v>3</v>
      </c>
      <c r="I128" s="121" t="s">
        <v>3</v>
      </c>
      <c r="J128" s="152" t="s">
        <v>3</v>
      </c>
      <c r="K128" s="121" t="s">
        <v>3</v>
      </c>
      <c r="L128" s="152" t="s">
        <v>3</v>
      </c>
      <c r="M128" s="121" t="s">
        <v>3</v>
      </c>
      <c r="N128" s="152"/>
      <c r="O128" s="121" t="s">
        <v>3</v>
      </c>
      <c r="P128" s="152"/>
      <c r="Q128" s="121" t="s">
        <v>2</v>
      </c>
      <c r="R128" s="152"/>
    </row>
    <row r="129" spans="1:18" ht="20.100000000000001" customHeight="1" x14ac:dyDescent="0.2">
      <c r="A129" s="130" t="s">
        <v>10</v>
      </c>
      <c r="B129" s="132" t="s">
        <v>1591</v>
      </c>
      <c r="C129" s="135" t="s">
        <v>1592</v>
      </c>
      <c r="D129" s="285">
        <v>2704.7460000000005</v>
      </c>
      <c r="E129" s="121" t="s">
        <v>3</v>
      </c>
      <c r="F129" s="152" t="s">
        <v>3</v>
      </c>
      <c r="G129" s="121" t="s">
        <v>3</v>
      </c>
      <c r="H129" s="152" t="s">
        <v>3</v>
      </c>
      <c r="I129" s="121" t="s">
        <v>3</v>
      </c>
      <c r="J129" s="152" t="s">
        <v>3</v>
      </c>
      <c r="K129" s="121" t="s">
        <v>3</v>
      </c>
      <c r="L129" s="152" t="s">
        <v>3</v>
      </c>
      <c r="M129" s="121" t="s">
        <v>3</v>
      </c>
      <c r="N129" s="152"/>
      <c r="O129" s="121" t="s">
        <v>3</v>
      </c>
      <c r="P129" s="152"/>
      <c r="Q129" s="121" t="s">
        <v>2</v>
      </c>
      <c r="R129" s="152"/>
    </row>
    <row r="130" spans="1:18" ht="20.100000000000001" customHeight="1" x14ac:dyDescent="0.2">
      <c r="A130" s="130" t="s">
        <v>10</v>
      </c>
      <c r="B130" s="132" t="s">
        <v>1593</v>
      </c>
      <c r="C130" s="135" t="s">
        <v>1594</v>
      </c>
      <c r="D130" s="285">
        <v>54.142000000000003</v>
      </c>
      <c r="E130" s="121" t="s">
        <v>3</v>
      </c>
      <c r="F130" s="152" t="s">
        <v>3</v>
      </c>
      <c r="G130" s="121" t="s">
        <v>3</v>
      </c>
      <c r="H130" s="152" t="s">
        <v>3</v>
      </c>
      <c r="I130" s="121" t="s">
        <v>3</v>
      </c>
      <c r="J130" s="152" t="s">
        <v>3</v>
      </c>
      <c r="K130" s="121" t="s">
        <v>3</v>
      </c>
      <c r="L130" s="152" t="s">
        <v>3</v>
      </c>
      <c r="M130" s="121" t="s">
        <v>3</v>
      </c>
      <c r="N130" s="152"/>
      <c r="O130" s="121" t="s">
        <v>3</v>
      </c>
      <c r="P130" s="152"/>
      <c r="Q130" s="121" t="s">
        <v>2</v>
      </c>
      <c r="R130" s="152"/>
    </row>
    <row r="131" spans="1:18" ht="20.100000000000001" customHeight="1" x14ac:dyDescent="0.2">
      <c r="A131" s="130" t="s">
        <v>10</v>
      </c>
      <c r="B131" s="132" t="s">
        <v>1595</v>
      </c>
      <c r="C131" s="135" t="s">
        <v>1596</v>
      </c>
      <c r="D131" s="285">
        <v>474.33100000000002</v>
      </c>
      <c r="E131" s="121" t="s">
        <v>3</v>
      </c>
      <c r="F131" s="152" t="s">
        <v>3</v>
      </c>
      <c r="G131" s="121" t="s">
        <v>3</v>
      </c>
      <c r="H131" s="152" t="s">
        <v>3</v>
      </c>
      <c r="I131" s="121" t="s">
        <v>3</v>
      </c>
      <c r="J131" s="152" t="s">
        <v>3</v>
      </c>
      <c r="K131" s="121" t="s">
        <v>3</v>
      </c>
      <c r="L131" s="152" t="s">
        <v>3</v>
      </c>
      <c r="M131" s="121" t="s">
        <v>3</v>
      </c>
      <c r="N131" s="152"/>
      <c r="O131" s="121" t="s">
        <v>3</v>
      </c>
      <c r="P131" s="152"/>
      <c r="Q131" s="121" t="s">
        <v>2</v>
      </c>
      <c r="R131" s="152"/>
    </row>
    <row r="132" spans="1:18" ht="20.100000000000001" customHeight="1" x14ac:dyDescent="0.2">
      <c r="A132" s="130" t="s">
        <v>10</v>
      </c>
      <c r="B132" s="132" t="s">
        <v>1597</v>
      </c>
      <c r="C132" s="135" t="s">
        <v>1598</v>
      </c>
      <c r="D132" s="285">
        <v>948.66200000000003</v>
      </c>
      <c r="E132" s="121" t="s">
        <v>3</v>
      </c>
      <c r="F132" s="152" t="s">
        <v>3</v>
      </c>
      <c r="G132" s="121" t="s">
        <v>3</v>
      </c>
      <c r="H132" s="152" t="s">
        <v>3</v>
      </c>
      <c r="I132" s="121" t="s">
        <v>3</v>
      </c>
      <c r="J132" s="152" t="s">
        <v>3</v>
      </c>
      <c r="K132" s="121" t="s">
        <v>3</v>
      </c>
      <c r="L132" s="152" t="s">
        <v>3</v>
      </c>
      <c r="M132" s="121" t="s">
        <v>3</v>
      </c>
      <c r="N132" s="152"/>
      <c r="O132" s="121" t="s">
        <v>3</v>
      </c>
      <c r="P132" s="152"/>
      <c r="Q132" s="121" t="s">
        <v>2</v>
      </c>
      <c r="R132" s="152"/>
    </row>
    <row r="133" spans="1:18" ht="20.100000000000001" customHeight="1" x14ac:dyDescent="0.2">
      <c r="A133" s="130" t="s">
        <v>10</v>
      </c>
      <c r="B133" s="132" t="s">
        <v>1599</v>
      </c>
      <c r="C133" s="135" t="s">
        <v>1600</v>
      </c>
      <c r="D133" s="285">
        <v>125.35050000000001</v>
      </c>
      <c r="E133" s="121" t="s">
        <v>3</v>
      </c>
      <c r="F133" s="152" t="s">
        <v>3</v>
      </c>
      <c r="G133" s="121" t="s">
        <v>3</v>
      </c>
      <c r="H133" s="152" t="s">
        <v>3</v>
      </c>
      <c r="I133" s="121" t="s">
        <v>3</v>
      </c>
      <c r="J133" s="152" t="s">
        <v>3</v>
      </c>
      <c r="K133" s="121" t="s">
        <v>3</v>
      </c>
      <c r="L133" s="152" t="s">
        <v>3</v>
      </c>
      <c r="M133" s="121" t="s">
        <v>3</v>
      </c>
      <c r="N133" s="152"/>
      <c r="O133" s="121" t="s">
        <v>3</v>
      </c>
      <c r="P133" s="152"/>
      <c r="Q133" s="121" t="s">
        <v>2</v>
      </c>
      <c r="R133" s="152"/>
    </row>
    <row r="134" spans="1:18" ht="20.100000000000001" customHeight="1" x14ac:dyDescent="0.2">
      <c r="A134" s="130" t="s">
        <v>10</v>
      </c>
      <c r="B134" s="132" t="s">
        <v>1601</v>
      </c>
      <c r="C134" s="135" t="s">
        <v>1602</v>
      </c>
      <c r="D134" s="285">
        <v>143.59400000000002</v>
      </c>
      <c r="E134" s="121" t="s">
        <v>3</v>
      </c>
      <c r="F134" s="152" t="s">
        <v>3</v>
      </c>
      <c r="G134" s="121" t="s">
        <v>3</v>
      </c>
      <c r="H134" s="152" t="s">
        <v>3</v>
      </c>
      <c r="I134" s="121" t="s">
        <v>3</v>
      </c>
      <c r="J134" s="152" t="s">
        <v>3</v>
      </c>
      <c r="K134" s="121" t="s">
        <v>3</v>
      </c>
      <c r="L134" s="152" t="s">
        <v>3</v>
      </c>
      <c r="M134" s="121" t="s">
        <v>3</v>
      </c>
      <c r="N134" s="152"/>
      <c r="O134" s="121" t="s">
        <v>3</v>
      </c>
      <c r="P134" s="152"/>
      <c r="Q134" s="121" t="s">
        <v>2</v>
      </c>
      <c r="R134" s="152"/>
    </row>
    <row r="135" spans="1:18" ht="20.100000000000001" customHeight="1" x14ac:dyDescent="0.2">
      <c r="A135" s="130" t="s">
        <v>10</v>
      </c>
      <c r="B135" s="132" t="s">
        <v>1603</v>
      </c>
      <c r="C135" s="135" t="s">
        <v>1604</v>
      </c>
      <c r="D135" s="285">
        <v>4659.542910000001</v>
      </c>
      <c r="E135" s="121" t="s">
        <v>3</v>
      </c>
      <c r="F135" s="152" t="s">
        <v>3</v>
      </c>
      <c r="G135" s="121" t="s">
        <v>3</v>
      </c>
      <c r="H135" s="152" t="s">
        <v>3</v>
      </c>
      <c r="I135" s="121" t="s">
        <v>3</v>
      </c>
      <c r="J135" s="152" t="s">
        <v>3</v>
      </c>
      <c r="K135" s="121" t="s">
        <v>3</v>
      </c>
      <c r="L135" s="152" t="s">
        <v>3</v>
      </c>
      <c r="M135" s="121" t="s">
        <v>3</v>
      </c>
      <c r="N135" s="152"/>
      <c r="O135" s="121" t="s">
        <v>3</v>
      </c>
      <c r="P135" s="152"/>
      <c r="Q135" s="121" t="s">
        <v>2</v>
      </c>
      <c r="R135" s="152"/>
    </row>
    <row r="136" spans="1:18" ht="20.100000000000001" customHeight="1" x14ac:dyDescent="0.2">
      <c r="A136" s="130" t="s">
        <v>10</v>
      </c>
      <c r="B136" s="132" t="s">
        <v>1605</v>
      </c>
      <c r="C136" s="135" t="s">
        <v>1606</v>
      </c>
      <c r="D136" s="285">
        <v>73.5625</v>
      </c>
      <c r="E136" s="121" t="s">
        <v>3</v>
      </c>
      <c r="F136" s="152" t="s">
        <v>3</v>
      </c>
      <c r="G136" s="121" t="s">
        <v>3</v>
      </c>
      <c r="H136" s="152" t="s">
        <v>3</v>
      </c>
      <c r="I136" s="121" t="s">
        <v>3</v>
      </c>
      <c r="J136" s="152" t="s">
        <v>3</v>
      </c>
      <c r="K136" s="121" t="s">
        <v>2</v>
      </c>
      <c r="L136" s="152" t="s">
        <v>2</v>
      </c>
      <c r="M136" s="121" t="s">
        <v>3</v>
      </c>
      <c r="N136" s="152"/>
      <c r="O136" s="121" t="s">
        <v>2</v>
      </c>
      <c r="P136" s="152"/>
      <c r="Q136" s="121" t="s">
        <v>2</v>
      </c>
      <c r="R136" s="152"/>
    </row>
    <row r="137" spans="1:18" ht="19.5" customHeight="1" x14ac:dyDescent="0.2">
      <c r="A137" s="130" t="s">
        <v>10</v>
      </c>
      <c r="B137" s="132" t="s">
        <v>1607</v>
      </c>
      <c r="C137" s="135" t="s">
        <v>1608</v>
      </c>
      <c r="D137" s="285">
        <v>72.385500000000008</v>
      </c>
      <c r="E137" s="121" t="s">
        <v>2</v>
      </c>
      <c r="F137" s="152" t="s">
        <v>2</v>
      </c>
      <c r="G137" s="121" t="s">
        <v>2</v>
      </c>
      <c r="H137" s="152" t="s">
        <v>2</v>
      </c>
      <c r="I137" s="121" t="s">
        <v>3</v>
      </c>
      <c r="J137" s="152" t="s">
        <v>3</v>
      </c>
      <c r="K137" s="121" t="s">
        <v>2</v>
      </c>
      <c r="L137" s="152" t="s">
        <v>2</v>
      </c>
      <c r="M137" s="121" t="s">
        <v>3</v>
      </c>
      <c r="N137" s="152"/>
      <c r="O137" s="121" t="s">
        <v>2</v>
      </c>
      <c r="P137" s="152"/>
      <c r="Q137" s="121" t="s">
        <v>2</v>
      </c>
      <c r="R137" s="152"/>
    </row>
    <row r="138" spans="1:18" ht="30" customHeight="1" x14ac:dyDescent="0.2">
      <c r="A138" s="123" t="s">
        <v>7</v>
      </c>
      <c r="B138" s="123" t="s">
        <v>0</v>
      </c>
      <c r="C138" s="124" t="s">
        <v>906</v>
      </c>
      <c r="D138" s="123" t="s">
        <v>0</v>
      </c>
      <c r="E138" s="122" t="str">
        <f ca="1">INDIRECT("Data!$H"&amp;COLUMN()+25)</f>
        <v>ECOSYS M8124cidn</v>
      </c>
      <c r="F138" s="122" t="str">
        <f t="shared" ref="F138:R138" ca="1" si="2">INDIRECT("Data!$H"&amp;COLUMN()+25)</f>
        <v>TASKalfa 2554ci</v>
      </c>
      <c r="G138" s="122" t="str">
        <f t="shared" ca="1" si="2"/>
        <v>ECOSYS MA3500cix</v>
      </c>
      <c r="H138" s="122" t="str">
        <f t="shared" ca="1" si="2"/>
        <v>TASKalfa 358ci</v>
      </c>
      <c r="I138" s="122" t="str">
        <f t="shared" ca="1" si="2"/>
        <v>ECOSYS M8130cidn</v>
      </c>
      <c r="J138" s="122" t="str">
        <f t="shared" ca="1" si="2"/>
        <v>TASKalfa 3554ci</v>
      </c>
      <c r="K138" s="122" t="str">
        <f t="shared" ca="1" si="2"/>
        <v>TASKalfa 408ci</v>
      </c>
      <c r="L138" s="122" t="str">
        <f t="shared" ca="1" si="2"/>
        <v>TASKalfa 4054ci</v>
      </c>
      <c r="M138" s="122" t="str">
        <f t="shared" ca="1" si="2"/>
        <v>TASKalfa 5054ci</v>
      </c>
      <c r="N138" s="122" t="str">
        <f t="shared" ca="1" si="2"/>
        <v>Not Offered</v>
      </c>
      <c r="O138" s="122" t="str">
        <f t="shared" ca="1" si="2"/>
        <v>TASkalfa 6054ci</v>
      </c>
      <c r="P138" s="122" t="str">
        <f t="shared" ca="1" si="2"/>
        <v>TASKalfa 7353ci</v>
      </c>
      <c r="Q138" s="122" t="str">
        <f t="shared" ca="1" si="2"/>
        <v>TASKalfa 8353ci</v>
      </c>
      <c r="R138" s="122" t="str">
        <f t="shared" ca="1" si="2"/>
        <v>TASKalfa 7054ci</v>
      </c>
    </row>
    <row r="139" spans="1:18" ht="20.100000000000001" customHeight="1" x14ac:dyDescent="0.2">
      <c r="A139" s="130" t="s">
        <v>7</v>
      </c>
      <c r="B139" s="130" t="s">
        <v>1255</v>
      </c>
      <c r="C139" s="135" t="s">
        <v>1256</v>
      </c>
      <c r="D139" s="131">
        <v>162.80000000000001</v>
      </c>
      <c r="E139" s="121" t="s">
        <v>2</v>
      </c>
      <c r="F139" s="152" t="s">
        <v>3</v>
      </c>
      <c r="G139" s="121" t="s">
        <v>2</v>
      </c>
      <c r="H139" s="152" t="s">
        <v>3</v>
      </c>
      <c r="I139" s="121" t="s">
        <v>2</v>
      </c>
      <c r="J139" s="152" t="s">
        <v>3</v>
      </c>
      <c r="K139" s="121" t="s">
        <v>3</v>
      </c>
      <c r="L139" s="152" t="s">
        <v>3</v>
      </c>
      <c r="M139" s="121" t="s">
        <v>3</v>
      </c>
      <c r="N139" s="152"/>
      <c r="O139" s="121" t="s">
        <v>3</v>
      </c>
      <c r="P139" s="152" t="s">
        <v>3</v>
      </c>
      <c r="Q139" s="121" t="s">
        <v>3</v>
      </c>
      <c r="R139" s="152" t="s">
        <v>3</v>
      </c>
    </row>
    <row r="140" spans="1:18" ht="20.100000000000001" customHeight="1" x14ac:dyDescent="0.2">
      <c r="A140" s="130" t="s">
        <v>7</v>
      </c>
      <c r="B140" s="130" t="s">
        <v>1257</v>
      </c>
      <c r="C140" s="134" t="s">
        <v>1258</v>
      </c>
      <c r="D140" s="131">
        <v>260.7</v>
      </c>
      <c r="E140" s="121" t="s">
        <v>2</v>
      </c>
      <c r="F140" s="152" t="s">
        <v>3</v>
      </c>
      <c r="G140" s="121" t="s">
        <v>2</v>
      </c>
      <c r="H140" s="152" t="s">
        <v>3</v>
      </c>
      <c r="I140" s="121" t="s">
        <v>2</v>
      </c>
      <c r="J140" s="152" t="s">
        <v>3</v>
      </c>
      <c r="K140" s="121" t="s">
        <v>3</v>
      </c>
      <c r="L140" s="152" t="s">
        <v>3</v>
      </c>
      <c r="M140" s="121" t="s">
        <v>3</v>
      </c>
      <c r="N140" s="152"/>
      <c r="O140" s="121" t="s">
        <v>3</v>
      </c>
      <c r="P140" s="152" t="s">
        <v>3</v>
      </c>
      <c r="Q140" s="121" t="s">
        <v>3</v>
      </c>
      <c r="R140" s="152" t="s">
        <v>3</v>
      </c>
    </row>
    <row r="141" spans="1:18" ht="20.100000000000001" customHeight="1" x14ac:dyDescent="0.2">
      <c r="A141" s="130" t="s">
        <v>7</v>
      </c>
      <c r="B141" s="132" t="s">
        <v>1259</v>
      </c>
      <c r="C141" s="134" t="s">
        <v>1260</v>
      </c>
      <c r="D141" s="131">
        <v>506</v>
      </c>
      <c r="E141" s="121" t="s">
        <v>2</v>
      </c>
      <c r="F141" s="152" t="s">
        <v>3</v>
      </c>
      <c r="G141" s="121" t="s">
        <v>3</v>
      </c>
      <c r="H141" s="152" t="s">
        <v>3</v>
      </c>
      <c r="I141" s="121" t="s">
        <v>2</v>
      </c>
      <c r="J141" s="152" t="s">
        <v>3</v>
      </c>
      <c r="K141" s="121" t="s">
        <v>3</v>
      </c>
      <c r="L141" s="152" t="s">
        <v>3</v>
      </c>
      <c r="M141" s="121" t="s">
        <v>3</v>
      </c>
      <c r="N141" s="152"/>
      <c r="O141" s="121" t="s">
        <v>3</v>
      </c>
      <c r="P141" s="152" t="s">
        <v>3</v>
      </c>
      <c r="Q141" s="121" t="s">
        <v>3</v>
      </c>
      <c r="R141" s="152" t="s">
        <v>3</v>
      </c>
    </row>
    <row r="142" spans="1:18" ht="20.100000000000001" customHeight="1" x14ac:dyDescent="0.2">
      <c r="A142" s="130" t="s">
        <v>7</v>
      </c>
      <c r="B142" s="132" t="s">
        <v>1261</v>
      </c>
      <c r="C142" s="134" t="s">
        <v>2397</v>
      </c>
      <c r="D142" s="131">
        <v>759</v>
      </c>
      <c r="E142" s="121" t="s">
        <v>2</v>
      </c>
      <c r="F142" s="152" t="s">
        <v>3</v>
      </c>
      <c r="G142" s="121" t="s">
        <v>3</v>
      </c>
      <c r="H142" s="152" t="s">
        <v>3</v>
      </c>
      <c r="I142" s="121" t="s">
        <v>2</v>
      </c>
      <c r="J142" s="152" t="s">
        <v>3</v>
      </c>
      <c r="K142" s="121" t="s">
        <v>3</v>
      </c>
      <c r="L142" s="152" t="s">
        <v>3</v>
      </c>
      <c r="M142" s="121" t="s">
        <v>3</v>
      </c>
      <c r="N142" s="152"/>
      <c r="O142" s="121" t="s">
        <v>3</v>
      </c>
      <c r="P142" s="152" t="s">
        <v>3</v>
      </c>
      <c r="Q142" s="121" t="s">
        <v>3</v>
      </c>
      <c r="R142" s="152" t="s">
        <v>3</v>
      </c>
    </row>
    <row r="143" spans="1:18" ht="20.100000000000001" customHeight="1" x14ac:dyDescent="0.2">
      <c r="A143" s="130" t="s">
        <v>7</v>
      </c>
      <c r="B143" s="132" t="s">
        <v>1262</v>
      </c>
      <c r="C143" s="134" t="s">
        <v>1263</v>
      </c>
      <c r="D143" s="131">
        <v>573.1</v>
      </c>
      <c r="E143" s="121" t="s">
        <v>3</v>
      </c>
      <c r="F143" s="152" t="s">
        <v>3</v>
      </c>
      <c r="G143" s="121" t="s">
        <v>3</v>
      </c>
      <c r="H143" s="152" t="s">
        <v>3</v>
      </c>
      <c r="I143" s="121" t="s">
        <v>3</v>
      </c>
      <c r="J143" s="152" t="s">
        <v>3</v>
      </c>
      <c r="K143" s="121" t="s">
        <v>3</v>
      </c>
      <c r="L143" s="152" t="s">
        <v>3</v>
      </c>
      <c r="M143" s="121" t="s">
        <v>3</v>
      </c>
      <c r="N143" s="152"/>
      <c r="O143" s="121" t="s">
        <v>3</v>
      </c>
      <c r="P143" s="152" t="s">
        <v>3</v>
      </c>
      <c r="Q143" s="121" t="s">
        <v>3</v>
      </c>
      <c r="R143" s="152" t="s">
        <v>3</v>
      </c>
    </row>
    <row r="144" spans="1:18" ht="20.100000000000001" customHeight="1" x14ac:dyDescent="0.2">
      <c r="A144" s="130" t="s">
        <v>7</v>
      </c>
      <c r="B144" s="132" t="s">
        <v>1264</v>
      </c>
      <c r="C144" s="134" t="s">
        <v>1265</v>
      </c>
      <c r="D144" s="131">
        <v>726</v>
      </c>
      <c r="E144" s="121" t="s">
        <v>3</v>
      </c>
      <c r="F144" s="152" t="s">
        <v>3</v>
      </c>
      <c r="G144" s="121" t="s">
        <v>3</v>
      </c>
      <c r="H144" s="152" t="s">
        <v>3</v>
      </c>
      <c r="I144" s="121" t="s">
        <v>3</v>
      </c>
      <c r="J144" s="152" t="s">
        <v>3</v>
      </c>
      <c r="K144" s="121" t="s">
        <v>3</v>
      </c>
      <c r="L144" s="152" t="s">
        <v>3</v>
      </c>
      <c r="M144" s="121" t="s">
        <v>3</v>
      </c>
      <c r="N144" s="152"/>
      <c r="O144" s="121" t="s">
        <v>3</v>
      </c>
      <c r="P144" s="152" t="s">
        <v>3</v>
      </c>
      <c r="Q144" s="121" t="s">
        <v>3</v>
      </c>
      <c r="R144" s="152" t="s">
        <v>3</v>
      </c>
    </row>
    <row r="145" spans="1:18" ht="20.100000000000001" customHeight="1" x14ac:dyDescent="0.2">
      <c r="A145" s="130" t="s">
        <v>7</v>
      </c>
      <c r="B145" s="132" t="s">
        <v>1266</v>
      </c>
      <c r="C145" s="134" t="s">
        <v>1267</v>
      </c>
      <c r="D145" s="131">
        <v>638</v>
      </c>
      <c r="E145" s="121" t="s">
        <v>3</v>
      </c>
      <c r="F145" s="152" t="s">
        <v>2</v>
      </c>
      <c r="G145" s="121" t="s">
        <v>3</v>
      </c>
      <c r="H145" s="152" t="s">
        <v>3</v>
      </c>
      <c r="I145" s="121" t="s">
        <v>3</v>
      </c>
      <c r="J145" s="152" t="s">
        <v>2</v>
      </c>
      <c r="K145" s="121" t="s">
        <v>3</v>
      </c>
      <c r="L145" s="152" t="s">
        <v>2</v>
      </c>
      <c r="M145" s="121" t="s">
        <v>2</v>
      </c>
      <c r="N145" s="152"/>
      <c r="O145" s="121" t="s">
        <v>2</v>
      </c>
      <c r="P145" s="152" t="s">
        <v>2</v>
      </c>
      <c r="Q145" s="121" t="s">
        <v>2</v>
      </c>
      <c r="R145" s="152" t="s">
        <v>2</v>
      </c>
    </row>
    <row r="146" spans="1:18" ht="20.100000000000001" customHeight="1" x14ac:dyDescent="0.2">
      <c r="A146" s="130" t="s">
        <v>7</v>
      </c>
      <c r="B146" s="132" t="s">
        <v>2004</v>
      </c>
      <c r="C146" s="134" t="s">
        <v>2398</v>
      </c>
      <c r="D146" s="131">
        <v>573.1</v>
      </c>
      <c r="E146" s="121" t="s">
        <v>3</v>
      </c>
      <c r="F146" s="152" t="s">
        <v>2</v>
      </c>
      <c r="G146" s="121" t="s">
        <v>3</v>
      </c>
      <c r="H146" s="152" t="s">
        <v>3</v>
      </c>
      <c r="I146" s="121" t="s">
        <v>3</v>
      </c>
      <c r="J146" s="152" t="s">
        <v>2</v>
      </c>
      <c r="K146" s="121" t="s">
        <v>3</v>
      </c>
      <c r="L146" s="152" t="s">
        <v>2</v>
      </c>
      <c r="M146" s="121" t="s">
        <v>2</v>
      </c>
      <c r="N146" s="152"/>
      <c r="O146" s="121" t="s">
        <v>2</v>
      </c>
      <c r="P146" s="152" t="s">
        <v>3</v>
      </c>
      <c r="Q146" s="121" t="s">
        <v>3</v>
      </c>
      <c r="R146" s="152" t="s">
        <v>2</v>
      </c>
    </row>
    <row r="147" spans="1:18" ht="20.100000000000001" customHeight="1" x14ac:dyDescent="0.2">
      <c r="A147" s="130" t="s">
        <v>7</v>
      </c>
      <c r="B147" s="132" t="s">
        <v>2005</v>
      </c>
      <c r="C147" s="134" t="s">
        <v>2399</v>
      </c>
      <c r="D147" s="131">
        <v>726</v>
      </c>
      <c r="E147" s="121" t="s">
        <v>3</v>
      </c>
      <c r="F147" s="152" t="s">
        <v>2</v>
      </c>
      <c r="G147" s="121" t="s">
        <v>3</v>
      </c>
      <c r="H147" s="152" t="s">
        <v>3</v>
      </c>
      <c r="I147" s="121" t="s">
        <v>3</v>
      </c>
      <c r="J147" s="152" t="s">
        <v>2</v>
      </c>
      <c r="K147" s="121" t="s">
        <v>3</v>
      </c>
      <c r="L147" s="152" t="s">
        <v>2</v>
      </c>
      <c r="M147" s="121" t="s">
        <v>2</v>
      </c>
      <c r="N147" s="152"/>
      <c r="O147" s="121" t="s">
        <v>2</v>
      </c>
      <c r="P147" s="152" t="s">
        <v>1762</v>
      </c>
      <c r="Q147" s="121" t="s">
        <v>1762</v>
      </c>
      <c r="R147" s="152" t="s">
        <v>2</v>
      </c>
    </row>
    <row r="148" spans="1:18" ht="20.100000000000001" customHeight="1" x14ac:dyDescent="0.2">
      <c r="A148" s="130" t="s">
        <v>7</v>
      </c>
      <c r="B148" s="132" t="s">
        <v>1268</v>
      </c>
      <c r="C148" s="134" t="s">
        <v>1269</v>
      </c>
      <c r="D148" s="131">
        <v>266.2</v>
      </c>
      <c r="E148" s="121" t="s">
        <v>3</v>
      </c>
      <c r="F148" s="152" t="s">
        <v>3</v>
      </c>
      <c r="G148" s="121" t="s">
        <v>2</v>
      </c>
      <c r="H148" s="152" t="s">
        <v>3</v>
      </c>
      <c r="I148" s="121" t="s">
        <v>3</v>
      </c>
      <c r="J148" s="152" t="s">
        <v>3</v>
      </c>
      <c r="K148" s="121" t="s">
        <v>3</v>
      </c>
      <c r="L148" s="152" t="s">
        <v>3</v>
      </c>
      <c r="M148" s="121" t="s">
        <v>3</v>
      </c>
      <c r="N148" s="152"/>
      <c r="O148" s="121" t="s">
        <v>3</v>
      </c>
      <c r="P148" s="152" t="s">
        <v>3</v>
      </c>
      <c r="Q148" s="121" t="s">
        <v>3</v>
      </c>
      <c r="R148" s="152" t="s">
        <v>3</v>
      </c>
    </row>
    <row r="149" spans="1:18" ht="20.100000000000001" customHeight="1" x14ac:dyDescent="0.2">
      <c r="A149" s="130" t="s">
        <v>7</v>
      </c>
      <c r="B149" s="132" t="s">
        <v>1270</v>
      </c>
      <c r="C149" s="134" t="s">
        <v>1271</v>
      </c>
      <c r="D149" s="131">
        <v>217.8</v>
      </c>
      <c r="E149" s="121" t="s">
        <v>3</v>
      </c>
      <c r="F149" s="152" t="s">
        <v>3</v>
      </c>
      <c r="G149" s="121" t="s">
        <v>3</v>
      </c>
      <c r="H149" s="152" t="s">
        <v>2</v>
      </c>
      <c r="I149" s="121" t="s">
        <v>3</v>
      </c>
      <c r="J149" s="152" t="s">
        <v>3</v>
      </c>
      <c r="K149" s="121" t="s">
        <v>2</v>
      </c>
      <c r="L149" s="152" t="s">
        <v>3</v>
      </c>
      <c r="M149" s="121" t="s">
        <v>3</v>
      </c>
      <c r="N149" s="152"/>
      <c r="O149" s="121" t="s">
        <v>3</v>
      </c>
      <c r="P149" s="152" t="s">
        <v>3</v>
      </c>
      <c r="Q149" s="121" t="s">
        <v>3</v>
      </c>
      <c r="R149" s="152" t="s">
        <v>3</v>
      </c>
    </row>
    <row r="150" spans="1:18" ht="20.100000000000001" customHeight="1" x14ac:dyDescent="0.2">
      <c r="A150" s="130" t="s">
        <v>7</v>
      </c>
      <c r="B150" s="132" t="s">
        <v>1272</v>
      </c>
      <c r="C150" s="134" t="s">
        <v>1273</v>
      </c>
      <c r="D150" s="131">
        <v>433.4</v>
      </c>
      <c r="E150" s="121" t="s">
        <v>3</v>
      </c>
      <c r="F150" s="152" t="s">
        <v>3</v>
      </c>
      <c r="G150" s="121" t="s">
        <v>3</v>
      </c>
      <c r="H150" s="152" t="s">
        <v>2</v>
      </c>
      <c r="I150" s="121" t="s">
        <v>3</v>
      </c>
      <c r="J150" s="152" t="s">
        <v>3</v>
      </c>
      <c r="K150" s="121" t="s">
        <v>2</v>
      </c>
      <c r="L150" s="152" t="s">
        <v>3</v>
      </c>
      <c r="M150" s="121" t="s">
        <v>3</v>
      </c>
      <c r="N150" s="152"/>
      <c r="O150" s="121" t="s">
        <v>3</v>
      </c>
      <c r="P150" s="152" t="s">
        <v>3</v>
      </c>
      <c r="Q150" s="121" t="s">
        <v>3</v>
      </c>
      <c r="R150" s="152" t="s">
        <v>3</v>
      </c>
    </row>
    <row r="151" spans="1:18" ht="20.100000000000001" customHeight="1" x14ac:dyDescent="0.2">
      <c r="A151" s="130" t="s">
        <v>7</v>
      </c>
      <c r="B151" s="132" t="s">
        <v>1274</v>
      </c>
      <c r="C151" s="135" t="s">
        <v>1275</v>
      </c>
      <c r="D151" s="131">
        <v>540.1</v>
      </c>
      <c r="E151" s="121" t="s">
        <v>3</v>
      </c>
      <c r="F151" s="152" t="s">
        <v>3</v>
      </c>
      <c r="G151" s="121" t="s">
        <v>3</v>
      </c>
      <c r="H151" s="152" t="s">
        <v>2</v>
      </c>
      <c r="I151" s="121" t="s">
        <v>3</v>
      </c>
      <c r="J151" s="152" t="s">
        <v>3</v>
      </c>
      <c r="K151" s="121" t="s">
        <v>2</v>
      </c>
      <c r="L151" s="152" t="s">
        <v>3</v>
      </c>
      <c r="M151" s="121" t="s">
        <v>3</v>
      </c>
      <c r="N151" s="152"/>
      <c r="O151" s="121" t="s">
        <v>3</v>
      </c>
      <c r="P151" s="152" t="s">
        <v>3</v>
      </c>
      <c r="Q151" s="121" t="s">
        <v>3</v>
      </c>
      <c r="R151" s="152" t="s">
        <v>3</v>
      </c>
    </row>
    <row r="152" spans="1:18" ht="20.100000000000001" customHeight="1" x14ac:dyDescent="0.2">
      <c r="A152" s="130" t="s">
        <v>7</v>
      </c>
      <c r="B152" s="132" t="s">
        <v>1276</v>
      </c>
      <c r="C152" s="135" t="s">
        <v>1277</v>
      </c>
      <c r="D152" s="131">
        <v>447.7</v>
      </c>
      <c r="E152" s="121" t="s">
        <v>3</v>
      </c>
      <c r="F152" s="152" t="s">
        <v>3</v>
      </c>
      <c r="G152" s="121" t="s">
        <v>3</v>
      </c>
      <c r="H152" s="152" t="s">
        <v>3</v>
      </c>
      <c r="I152" s="121" t="s">
        <v>3</v>
      </c>
      <c r="J152" s="152" t="s">
        <v>3</v>
      </c>
      <c r="K152" s="121" t="s">
        <v>3</v>
      </c>
      <c r="L152" s="152" t="s">
        <v>3</v>
      </c>
      <c r="M152" s="121" t="s">
        <v>3</v>
      </c>
      <c r="N152" s="152"/>
      <c r="O152" s="121" t="s">
        <v>3</v>
      </c>
      <c r="P152" s="152" t="s">
        <v>2</v>
      </c>
      <c r="Q152" s="121" t="s">
        <v>2</v>
      </c>
      <c r="R152" s="152" t="s">
        <v>3</v>
      </c>
    </row>
    <row r="153" spans="1:18" ht="20.100000000000001" customHeight="1" x14ac:dyDescent="0.2">
      <c r="A153" s="130" t="s">
        <v>7</v>
      </c>
      <c r="B153" s="132" t="s">
        <v>1278</v>
      </c>
      <c r="C153" s="135" t="s">
        <v>1279</v>
      </c>
      <c r="D153" s="131">
        <v>573.1</v>
      </c>
      <c r="E153" s="121" t="s">
        <v>3</v>
      </c>
      <c r="F153" s="152" t="s">
        <v>3</v>
      </c>
      <c r="G153" s="121" t="s">
        <v>3</v>
      </c>
      <c r="H153" s="152" t="s">
        <v>3</v>
      </c>
      <c r="I153" s="121" t="s">
        <v>3</v>
      </c>
      <c r="J153" s="152" t="s">
        <v>3</v>
      </c>
      <c r="K153" s="121" t="s">
        <v>3</v>
      </c>
      <c r="L153" s="152" t="s">
        <v>3</v>
      </c>
      <c r="M153" s="121" t="s">
        <v>3</v>
      </c>
      <c r="N153" s="152"/>
      <c r="O153" s="121" t="s">
        <v>3</v>
      </c>
      <c r="P153" s="152" t="s">
        <v>2</v>
      </c>
      <c r="Q153" s="121" t="s">
        <v>2</v>
      </c>
      <c r="R153" s="152" t="s">
        <v>3</v>
      </c>
    </row>
    <row r="154" spans="1:18" ht="20.100000000000001" customHeight="1" x14ac:dyDescent="0.2">
      <c r="A154" s="130" t="s">
        <v>7</v>
      </c>
      <c r="B154" s="132" t="s">
        <v>1280</v>
      </c>
      <c r="C154" s="135" t="s">
        <v>1281</v>
      </c>
      <c r="D154" s="131">
        <v>726</v>
      </c>
      <c r="E154" s="121" t="s">
        <v>3</v>
      </c>
      <c r="F154" s="152" t="s">
        <v>3</v>
      </c>
      <c r="G154" s="121" t="s">
        <v>3</v>
      </c>
      <c r="H154" s="152" t="s">
        <v>3</v>
      </c>
      <c r="I154" s="121" t="s">
        <v>3</v>
      </c>
      <c r="J154" s="152" t="s">
        <v>3</v>
      </c>
      <c r="K154" s="121" t="s">
        <v>3</v>
      </c>
      <c r="L154" s="152" t="s">
        <v>3</v>
      </c>
      <c r="M154" s="121" t="s">
        <v>3</v>
      </c>
      <c r="N154" s="152"/>
      <c r="O154" s="121" t="s">
        <v>3</v>
      </c>
      <c r="P154" s="152" t="s">
        <v>2</v>
      </c>
      <c r="Q154" s="121" t="s">
        <v>2</v>
      </c>
      <c r="R154" s="152" t="s">
        <v>3</v>
      </c>
    </row>
    <row r="155" spans="1:18" ht="20.100000000000001" customHeight="1" x14ac:dyDescent="0.2">
      <c r="A155" s="130" t="s">
        <v>7</v>
      </c>
      <c r="B155" s="132" t="s">
        <v>1282</v>
      </c>
      <c r="C155" s="135" t="s">
        <v>1283</v>
      </c>
      <c r="D155" s="131">
        <v>583</v>
      </c>
      <c r="E155" s="121" t="s">
        <v>2</v>
      </c>
      <c r="F155" s="152" t="s">
        <v>3</v>
      </c>
      <c r="G155" s="121" t="s">
        <v>3</v>
      </c>
      <c r="H155" s="152" t="s">
        <v>3</v>
      </c>
      <c r="I155" s="121" t="s">
        <v>2</v>
      </c>
      <c r="J155" s="152" t="s">
        <v>3</v>
      </c>
      <c r="K155" s="121" t="s">
        <v>3</v>
      </c>
      <c r="L155" s="152" t="s">
        <v>3</v>
      </c>
      <c r="M155" s="121" t="s">
        <v>3</v>
      </c>
      <c r="N155" s="152"/>
      <c r="O155" s="121" t="s">
        <v>3</v>
      </c>
      <c r="P155" s="152" t="s">
        <v>3</v>
      </c>
      <c r="Q155" s="121" t="s">
        <v>3</v>
      </c>
      <c r="R155" s="152" t="s">
        <v>3</v>
      </c>
    </row>
    <row r="156" spans="1:18" ht="20.100000000000001" customHeight="1" x14ac:dyDescent="0.2">
      <c r="A156" s="130" t="s">
        <v>7</v>
      </c>
      <c r="B156" s="132" t="s">
        <v>1284</v>
      </c>
      <c r="C156" s="135" t="s">
        <v>1285</v>
      </c>
      <c r="D156" s="131">
        <v>559.9</v>
      </c>
      <c r="E156" s="121" t="s">
        <v>3</v>
      </c>
      <c r="F156" s="152" t="s">
        <v>2</v>
      </c>
      <c r="G156" s="121" t="s">
        <v>3</v>
      </c>
      <c r="H156" s="152" t="s">
        <v>3</v>
      </c>
      <c r="I156" s="121" t="s">
        <v>3</v>
      </c>
      <c r="J156" s="152" t="s">
        <v>2</v>
      </c>
      <c r="K156" s="121" t="s">
        <v>3</v>
      </c>
      <c r="L156" s="152" t="s">
        <v>2</v>
      </c>
      <c r="M156" s="121" t="s">
        <v>2</v>
      </c>
      <c r="N156" s="152"/>
      <c r="O156" s="121" t="s">
        <v>2</v>
      </c>
      <c r="P156" s="152" t="s">
        <v>3</v>
      </c>
      <c r="Q156" s="121" t="s">
        <v>3</v>
      </c>
      <c r="R156" s="152" t="s">
        <v>2</v>
      </c>
    </row>
    <row r="157" spans="1:18" ht="20.100000000000001" customHeight="1" x14ac:dyDescent="0.2">
      <c r="A157" s="130" t="s">
        <v>7</v>
      </c>
      <c r="B157" s="132" t="s">
        <v>1286</v>
      </c>
      <c r="C157" s="135" t="s">
        <v>2400</v>
      </c>
      <c r="D157" s="131">
        <v>939.4</v>
      </c>
      <c r="E157" s="121" t="s">
        <v>3</v>
      </c>
      <c r="F157" s="152" t="s">
        <v>2</v>
      </c>
      <c r="G157" s="121" t="s">
        <v>3</v>
      </c>
      <c r="H157" s="152" t="s">
        <v>3</v>
      </c>
      <c r="I157" s="121" t="s">
        <v>3</v>
      </c>
      <c r="J157" s="152" t="s">
        <v>2</v>
      </c>
      <c r="K157" s="121" t="s">
        <v>3</v>
      </c>
      <c r="L157" s="152" t="s">
        <v>2</v>
      </c>
      <c r="M157" s="121" t="s">
        <v>2</v>
      </c>
      <c r="N157" s="152"/>
      <c r="O157" s="121" t="s">
        <v>2</v>
      </c>
      <c r="P157" s="152" t="s">
        <v>3</v>
      </c>
      <c r="Q157" s="121" t="s">
        <v>3</v>
      </c>
      <c r="R157" s="152" t="s">
        <v>2</v>
      </c>
    </row>
    <row r="158" spans="1:18" ht="20.100000000000001" customHeight="1" x14ac:dyDescent="0.2">
      <c r="A158" s="130" t="s">
        <v>7</v>
      </c>
      <c r="B158" s="132" t="s">
        <v>1288</v>
      </c>
      <c r="C158" s="135" t="s">
        <v>2401</v>
      </c>
      <c r="D158" s="131">
        <v>1398.1</v>
      </c>
      <c r="E158" s="121" t="s">
        <v>3</v>
      </c>
      <c r="F158" s="152" t="s">
        <v>3</v>
      </c>
      <c r="G158" s="121" t="s">
        <v>3</v>
      </c>
      <c r="H158" s="152" t="s">
        <v>3</v>
      </c>
      <c r="I158" s="121" t="s">
        <v>3</v>
      </c>
      <c r="J158" s="152" t="s">
        <v>3</v>
      </c>
      <c r="K158" s="121" t="s">
        <v>3</v>
      </c>
      <c r="L158" s="152" t="s">
        <v>3</v>
      </c>
      <c r="M158" s="121" t="s">
        <v>3</v>
      </c>
      <c r="N158" s="152"/>
      <c r="O158" s="121" t="s">
        <v>3</v>
      </c>
      <c r="P158" s="152" t="s">
        <v>2</v>
      </c>
      <c r="Q158" s="121" t="s">
        <v>2</v>
      </c>
      <c r="R158" s="152" t="s">
        <v>3</v>
      </c>
    </row>
    <row r="159" spans="1:18" ht="20.100000000000001" customHeight="1" x14ac:dyDescent="0.2">
      <c r="A159" s="130" t="s">
        <v>7</v>
      </c>
      <c r="B159" s="132" t="s">
        <v>2006</v>
      </c>
      <c r="C159" s="135" t="s">
        <v>2402</v>
      </c>
      <c r="D159" s="131">
        <v>1398.1</v>
      </c>
      <c r="E159" s="121" t="s">
        <v>3</v>
      </c>
      <c r="F159" s="152" t="s">
        <v>2</v>
      </c>
      <c r="G159" s="121" t="s">
        <v>3</v>
      </c>
      <c r="H159" s="152" t="s">
        <v>3</v>
      </c>
      <c r="I159" s="121" t="s">
        <v>3</v>
      </c>
      <c r="J159" s="152" t="s">
        <v>2</v>
      </c>
      <c r="K159" s="121" t="s">
        <v>3</v>
      </c>
      <c r="L159" s="152" t="s">
        <v>2</v>
      </c>
      <c r="M159" s="121" t="s">
        <v>2</v>
      </c>
      <c r="N159" s="152"/>
      <c r="O159" s="121" t="s">
        <v>2</v>
      </c>
      <c r="P159" s="152" t="s">
        <v>3</v>
      </c>
      <c r="Q159" s="121" t="s">
        <v>3</v>
      </c>
      <c r="R159" s="152" t="s">
        <v>2</v>
      </c>
    </row>
    <row r="160" spans="1:18" ht="20.100000000000001" customHeight="1" x14ac:dyDescent="0.2">
      <c r="A160" s="130" t="s">
        <v>7</v>
      </c>
      <c r="B160" s="132" t="s">
        <v>2403</v>
      </c>
      <c r="C160" s="135" t="s">
        <v>2007</v>
      </c>
      <c r="D160" s="131">
        <v>68.2</v>
      </c>
      <c r="E160" s="121" t="s">
        <v>3</v>
      </c>
      <c r="F160" s="152" t="s">
        <v>2</v>
      </c>
      <c r="G160" s="121" t="s">
        <v>3</v>
      </c>
      <c r="H160" s="152" t="s">
        <v>3</v>
      </c>
      <c r="I160" s="121" t="s">
        <v>3</v>
      </c>
      <c r="J160" s="152" t="s">
        <v>2</v>
      </c>
      <c r="K160" s="121" t="s">
        <v>3</v>
      </c>
      <c r="L160" s="152" t="s">
        <v>2</v>
      </c>
      <c r="M160" s="121" t="s">
        <v>2</v>
      </c>
      <c r="N160" s="152"/>
      <c r="O160" s="121" t="s">
        <v>2</v>
      </c>
      <c r="P160" s="152" t="s">
        <v>3</v>
      </c>
      <c r="Q160" s="121" t="s">
        <v>3</v>
      </c>
      <c r="R160" s="152" t="s">
        <v>2</v>
      </c>
    </row>
    <row r="161" spans="1:18" ht="20.100000000000001" customHeight="1" x14ac:dyDescent="0.2">
      <c r="A161" s="130" t="s">
        <v>7</v>
      </c>
      <c r="B161" s="132" t="s">
        <v>1290</v>
      </c>
      <c r="C161" s="135" t="s">
        <v>1291</v>
      </c>
      <c r="D161" s="131">
        <v>305.8</v>
      </c>
      <c r="E161" s="121" t="s">
        <v>3</v>
      </c>
      <c r="F161" s="152" t="s">
        <v>2</v>
      </c>
      <c r="G161" s="121" t="s">
        <v>3</v>
      </c>
      <c r="H161" s="152" t="s">
        <v>3</v>
      </c>
      <c r="I161" s="121" t="s">
        <v>3</v>
      </c>
      <c r="J161" s="152" t="s">
        <v>2</v>
      </c>
      <c r="K161" s="121" t="s">
        <v>3</v>
      </c>
      <c r="L161" s="152" t="s">
        <v>2</v>
      </c>
      <c r="M161" s="121" t="s">
        <v>2</v>
      </c>
      <c r="N161" s="152"/>
      <c r="O161" s="121" t="s">
        <v>2</v>
      </c>
      <c r="P161" s="152" t="s">
        <v>2</v>
      </c>
      <c r="Q161" s="121" t="s">
        <v>2</v>
      </c>
      <c r="R161" s="152" t="s">
        <v>2</v>
      </c>
    </row>
    <row r="162" spans="1:18" ht="20.100000000000001" customHeight="1" x14ac:dyDescent="0.2">
      <c r="A162" s="130" t="s">
        <v>7</v>
      </c>
      <c r="B162" s="132" t="s">
        <v>1292</v>
      </c>
      <c r="C162" s="135" t="s">
        <v>1293</v>
      </c>
      <c r="D162" s="131">
        <v>272.8</v>
      </c>
      <c r="E162" s="121" t="s">
        <v>3</v>
      </c>
      <c r="F162" s="152" t="s">
        <v>2</v>
      </c>
      <c r="G162" s="121" t="s">
        <v>3</v>
      </c>
      <c r="H162" s="152" t="s">
        <v>3</v>
      </c>
      <c r="I162" s="121" t="s">
        <v>3</v>
      </c>
      <c r="J162" s="152" t="s">
        <v>2</v>
      </c>
      <c r="K162" s="121" t="s">
        <v>3</v>
      </c>
      <c r="L162" s="152" t="s">
        <v>2</v>
      </c>
      <c r="M162" s="121" t="s">
        <v>2</v>
      </c>
      <c r="N162" s="152"/>
      <c r="O162" s="121" t="s">
        <v>2</v>
      </c>
      <c r="P162" s="152" t="s">
        <v>3</v>
      </c>
      <c r="Q162" s="121" t="s">
        <v>3</v>
      </c>
      <c r="R162" s="152" t="s">
        <v>2</v>
      </c>
    </row>
    <row r="163" spans="1:18" ht="20.100000000000001" customHeight="1" x14ac:dyDescent="0.2">
      <c r="A163" s="130" t="s">
        <v>7</v>
      </c>
      <c r="B163" s="132" t="s">
        <v>1294</v>
      </c>
      <c r="C163" s="135" t="s">
        <v>1295</v>
      </c>
      <c r="D163" s="131">
        <v>816.2</v>
      </c>
      <c r="E163" s="121" t="s">
        <v>3</v>
      </c>
      <c r="F163" s="152" t="s">
        <v>2</v>
      </c>
      <c r="G163" s="121" t="s">
        <v>3</v>
      </c>
      <c r="H163" s="152" t="s">
        <v>3</v>
      </c>
      <c r="I163" s="121" t="s">
        <v>3</v>
      </c>
      <c r="J163" s="152" t="s">
        <v>2</v>
      </c>
      <c r="K163" s="121" t="s">
        <v>3</v>
      </c>
      <c r="L163" s="152" t="s">
        <v>2</v>
      </c>
      <c r="M163" s="121" t="s">
        <v>2</v>
      </c>
      <c r="N163" s="152"/>
      <c r="O163" s="121" t="s">
        <v>2</v>
      </c>
      <c r="P163" s="152" t="s">
        <v>2</v>
      </c>
      <c r="Q163" s="121" t="s">
        <v>2</v>
      </c>
      <c r="R163" s="152" t="s">
        <v>2</v>
      </c>
    </row>
    <row r="164" spans="1:18" ht="20.100000000000001" customHeight="1" x14ac:dyDescent="0.2">
      <c r="A164" s="130" t="s">
        <v>7</v>
      </c>
      <c r="B164" s="132" t="s">
        <v>1296</v>
      </c>
      <c r="C164" s="135" t="s">
        <v>1297</v>
      </c>
      <c r="D164" s="131">
        <v>609.4</v>
      </c>
      <c r="E164" s="121" t="s">
        <v>3</v>
      </c>
      <c r="F164" s="152" t="s">
        <v>2</v>
      </c>
      <c r="G164" s="121" t="s">
        <v>3</v>
      </c>
      <c r="H164" s="152" t="s">
        <v>3</v>
      </c>
      <c r="I164" s="121" t="s">
        <v>3</v>
      </c>
      <c r="J164" s="152" t="s">
        <v>2</v>
      </c>
      <c r="K164" s="121" t="s">
        <v>3</v>
      </c>
      <c r="L164" s="152" t="s">
        <v>2</v>
      </c>
      <c r="M164" s="121" t="s">
        <v>2</v>
      </c>
      <c r="N164" s="152"/>
      <c r="O164" s="121" t="s">
        <v>2</v>
      </c>
      <c r="P164" s="152" t="s">
        <v>2</v>
      </c>
      <c r="Q164" s="121" t="s">
        <v>2</v>
      </c>
      <c r="R164" s="152" t="s">
        <v>2</v>
      </c>
    </row>
    <row r="165" spans="1:18" ht="20.100000000000001" customHeight="1" x14ac:dyDescent="0.2">
      <c r="A165" s="130" t="s">
        <v>7</v>
      </c>
      <c r="B165" s="132" t="s">
        <v>1298</v>
      </c>
      <c r="C165" s="135" t="s">
        <v>1299</v>
      </c>
      <c r="D165" s="131">
        <v>459.8</v>
      </c>
      <c r="E165" s="121" t="s">
        <v>3</v>
      </c>
      <c r="F165" s="152" t="s">
        <v>3</v>
      </c>
      <c r="G165" s="121" t="s">
        <v>3</v>
      </c>
      <c r="H165" s="152" t="s">
        <v>2</v>
      </c>
      <c r="I165" s="121" t="s">
        <v>3</v>
      </c>
      <c r="J165" s="152" t="s">
        <v>3</v>
      </c>
      <c r="K165" s="121" t="s">
        <v>2</v>
      </c>
      <c r="L165" s="152" t="s">
        <v>3</v>
      </c>
      <c r="M165" s="121" t="s">
        <v>3</v>
      </c>
      <c r="N165" s="152"/>
      <c r="O165" s="121" t="s">
        <v>3</v>
      </c>
      <c r="P165" s="152" t="s">
        <v>3</v>
      </c>
      <c r="Q165" s="121" t="s">
        <v>3</v>
      </c>
      <c r="R165" s="152" t="s">
        <v>3</v>
      </c>
    </row>
    <row r="166" spans="1:18" ht="20.100000000000001" customHeight="1" x14ac:dyDescent="0.2">
      <c r="A166" s="130" t="s">
        <v>7</v>
      </c>
      <c r="B166" s="132" t="s">
        <v>1300</v>
      </c>
      <c r="C166" s="135" t="s">
        <v>1301</v>
      </c>
      <c r="D166" s="131">
        <v>658.9</v>
      </c>
      <c r="E166" s="121" t="s">
        <v>3</v>
      </c>
      <c r="F166" s="152" t="s">
        <v>3</v>
      </c>
      <c r="G166" s="121" t="s">
        <v>3</v>
      </c>
      <c r="H166" s="152" t="s">
        <v>2</v>
      </c>
      <c r="I166" s="121" t="s">
        <v>3</v>
      </c>
      <c r="J166" s="152" t="s">
        <v>3</v>
      </c>
      <c r="K166" s="121" t="s">
        <v>2</v>
      </c>
      <c r="L166" s="152" t="s">
        <v>3</v>
      </c>
      <c r="M166" s="121" t="s">
        <v>3</v>
      </c>
      <c r="N166" s="152"/>
      <c r="O166" s="121" t="s">
        <v>3</v>
      </c>
      <c r="P166" s="152" t="s">
        <v>3</v>
      </c>
      <c r="Q166" s="121" t="s">
        <v>3</v>
      </c>
      <c r="R166" s="152" t="s">
        <v>3</v>
      </c>
    </row>
    <row r="167" spans="1:18" ht="20.100000000000001" customHeight="1" x14ac:dyDescent="0.2">
      <c r="A167" s="130" t="s">
        <v>7</v>
      </c>
      <c r="B167" s="132" t="s">
        <v>1302</v>
      </c>
      <c r="C167" s="135" t="s">
        <v>1303</v>
      </c>
      <c r="D167" s="131">
        <v>1012</v>
      </c>
      <c r="E167" s="121" t="s">
        <v>3</v>
      </c>
      <c r="F167" s="152" t="s">
        <v>3</v>
      </c>
      <c r="G167" s="121" t="s">
        <v>3</v>
      </c>
      <c r="H167" s="152" t="s">
        <v>2</v>
      </c>
      <c r="I167" s="121" t="s">
        <v>3</v>
      </c>
      <c r="J167" s="152" t="s">
        <v>3</v>
      </c>
      <c r="K167" s="121" t="s">
        <v>2</v>
      </c>
      <c r="L167" s="152" t="s">
        <v>3</v>
      </c>
      <c r="M167" s="121" t="s">
        <v>3</v>
      </c>
      <c r="N167" s="152"/>
      <c r="O167" s="121" t="s">
        <v>3</v>
      </c>
      <c r="P167" s="152" t="s">
        <v>3</v>
      </c>
      <c r="Q167" s="121" t="s">
        <v>3</v>
      </c>
      <c r="R167" s="152" t="s">
        <v>3</v>
      </c>
    </row>
    <row r="168" spans="1:18" ht="20.100000000000001" customHeight="1" x14ac:dyDescent="0.2">
      <c r="A168" s="130" t="s">
        <v>7</v>
      </c>
      <c r="B168" s="132" t="s">
        <v>1304</v>
      </c>
      <c r="C168" s="135" t="s">
        <v>1305</v>
      </c>
      <c r="D168" s="131">
        <v>56.1</v>
      </c>
      <c r="E168" s="121" t="s">
        <v>3</v>
      </c>
      <c r="F168" s="152" t="s">
        <v>3</v>
      </c>
      <c r="G168" s="121" t="s">
        <v>3</v>
      </c>
      <c r="H168" s="152" t="s">
        <v>2</v>
      </c>
      <c r="I168" s="121" t="s">
        <v>3</v>
      </c>
      <c r="J168" s="152" t="s">
        <v>3</v>
      </c>
      <c r="K168" s="121" t="s">
        <v>2</v>
      </c>
      <c r="L168" s="152" t="s">
        <v>3</v>
      </c>
      <c r="M168" s="121" t="s">
        <v>3</v>
      </c>
      <c r="N168" s="152"/>
      <c r="O168" s="121" t="s">
        <v>3</v>
      </c>
      <c r="P168" s="152" t="s">
        <v>3</v>
      </c>
      <c r="Q168" s="121" t="s">
        <v>3</v>
      </c>
      <c r="R168" s="152" t="s">
        <v>3</v>
      </c>
    </row>
    <row r="169" spans="1:18" ht="20.100000000000001" customHeight="1" x14ac:dyDescent="0.2">
      <c r="A169" s="130" t="s">
        <v>7</v>
      </c>
      <c r="B169" s="132" t="s">
        <v>1306</v>
      </c>
      <c r="C169" s="135" t="s">
        <v>1307</v>
      </c>
      <c r="D169" s="131">
        <v>455.4</v>
      </c>
      <c r="E169" s="121" t="s">
        <v>3</v>
      </c>
      <c r="F169" s="152" t="s">
        <v>3</v>
      </c>
      <c r="G169" s="121" t="s">
        <v>3</v>
      </c>
      <c r="H169" s="152" t="s">
        <v>2</v>
      </c>
      <c r="I169" s="121" t="s">
        <v>3</v>
      </c>
      <c r="J169" s="152" t="s">
        <v>3</v>
      </c>
      <c r="K169" s="121" t="s">
        <v>2</v>
      </c>
      <c r="L169" s="152" t="s">
        <v>3</v>
      </c>
      <c r="M169" s="121" t="s">
        <v>3</v>
      </c>
      <c r="N169" s="152"/>
      <c r="O169" s="121" t="s">
        <v>3</v>
      </c>
      <c r="P169" s="152" t="s">
        <v>3</v>
      </c>
      <c r="Q169" s="121" t="s">
        <v>3</v>
      </c>
      <c r="R169" s="152" t="s">
        <v>3</v>
      </c>
    </row>
    <row r="170" spans="1:18" ht="20.100000000000001" customHeight="1" x14ac:dyDescent="0.2">
      <c r="A170" s="130" t="s">
        <v>7</v>
      </c>
      <c r="B170" s="132" t="s">
        <v>1308</v>
      </c>
      <c r="C170" s="135" t="s">
        <v>1309</v>
      </c>
      <c r="D170" s="131">
        <v>207.9</v>
      </c>
      <c r="E170" s="121" t="s">
        <v>3</v>
      </c>
      <c r="F170" s="152" t="s">
        <v>3</v>
      </c>
      <c r="G170" s="121" t="s">
        <v>3</v>
      </c>
      <c r="H170" s="152" t="s">
        <v>2</v>
      </c>
      <c r="I170" s="121" t="s">
        <v>3</v>
      </c>
      <c r="J170" s="152" t="s">
        <v>3</v>
      </c>
      <c r="K170" s="121" t="s">
        <v>2</v>
      </c>
      <c r="L170" s="152" t="s">
        <v>3</v>
      </c>
      <c r="M170" s="121" t="s">
        <v>3</v>
      </c>
      <c r="N170" s="152"/>
      <c r="O170" s="121" t="s">
        <v>3</v>
      </c>
      <c r="P170" s="152" t="s">
        <v>3</v>
      </c>
      <c r="Q170" s="121" t="s">
        <v>3</v>
      </c>
      <c r="R170" s="152" t="s">
        <v>3</v>
      </c>
    </row>
    <row r="171" spans="1:18" ht="20.100000000000001" customHeight="1" x14ac:dyDescent="0.2">
      <c r="A171" s="130" t="s">
        <v>7</v>
      </c>
      <c r="B171" s="132" t="s">
        <v>1310</v>
      </c>
      <c r="C171" s="135" t="s">
        <v>1311</v>
      </c>
      <c r="D171" s="131">
        <v>270.60000000000002</v>
      </c>
      <c r="E171" s="121" t="s">
        <v>2</v>
      </c>
      <c r="F171" s="152" t="s">
        <v>3</v>
      </c>
      <c r="G171" s="121" t="s">
        <v>2</v>
      </c>
      <c r="H171" s="152" t="s">
        <v>3</v>
      </c>
      <c r="I171" s="121" t="s">
        <v>2</v>
      </c>
      <c r="J171" s="152" t="s">
        <v>3</v>
      </c>
      <c r="K171" s="121" t="s">
        <v>3</v>
      </c>
      <c r="L171" s="152" t="s">
        <v>3</v>
      </c>
      <c r="M171" s="121" t="s">
        <v>3</v>
      </c>
      <c r="N171" s="152"/>
      <c r="O171" s="121" t="s">
        <v>3</v>
      </c>
      <c r="P171" s="152" t="s">
        <v>3</v>
      </c>
      <c r="Q171" s="121" t="s">
        <v>3</v>
      </c>
      <c r="R171" s="152" t="s">
        <v>3</v>
      </c>
    </row>
    <row r="172" spans="1:18" ht="20.100000000000001" customHeight="1" x14ac:dyDescent="0.2">
      <c r="A172" s="130" t="s">
        <v>7</v>
      </c>
      <c r="B172" s="132" t="s">
        <v>1312</v>
      </c>
      <c r="C172" s="135" t="s">
        <v>1313</v>
      </c>
      <c r="D172" s="131">
        <v>380.6</v>
      </c>
      <c r="E172" s="121" t="s">
        <v>2</v>
      </c>
      <c r="F172" s="152" t="s">
        <v>3</v>
      </c>
      <c r="G172" s="121" t="s">
        <v>2</v>
      </c>
      <c r="H172" s="152" t="s">
        <v>3</v>
      </c>
      <c r="I172" s="121" t="s">
        <v>2</v>
      </c>
      <c r="J172" s="152" t="s">
        <v>3</v>
      </c>
      <c r="K172" s="121" t="s">
        <v>3</v>
      </c>
      <c r="L172" s="152" t="s">
        <v>3</v>
      </c>
      <c r="M172" s="121" t="s">
        <v>3</v>
      </c>
      <c r="N172" s="152"/>
      <c r="O172" s="121" t="s">
        <v>3</v>
      </c>
      <c r="P172" s="152" t="s">
        <v>3</v>
      </c>
      <c r="Q172" s="121" t="s">
        <v>3</v>
      </c>
      <c r="R172" s="152" t="s">
        <v>3</v>
      </c>
    </row>
    <row r="173" spans="1:18" ht="20.100000000000001" customHeight="1" x14ac:dyDescent="0.2">
      <c r="A173" s="130" t="s">
        <v>7</v>
      </c>
      <c r="B173" s="132" t="s">
        <v>1314</v>
      </c>
      <c r="C173" s="135" t="s">
        <v>1315</v>
      </c>
      <c r="D173" s="131">
        <v>383.9</v>
      </c>
      <c r="E173" s="121" t="s">
        <v>3</v>
      </c>
      <c r="F173" s="152" t="s">
        <v>3</v>
      </c>
      <c r="G173" s="121" t="s">
        <v>3</v>
      </c>
      <c r="H173" s="152" t="s">
        <v>3</v>
      </c>
      <c r="I173" s="121" t="s">
        <v>3</v>
      </c>
      <c r="J173" s="152" t="s">
        <v>3</v>
      </c>
      <c r="K173" s="121" t="s">
        <v>3</v>
      </c>
      <c r="L173" s="152" t="s">
        <v>3</v>
      </c>
      <c r="M173" s="121" t="s">
        <v>3</v>
      </c>
      <c r="N173" s="152"/>
      <c r="O173" s="121" t="s">
        <v>3</v>
      </c>
      <c r="P173" s="152" t="s">
        <v>3</v>
      </c>
      <c r="Q173" s="121" t="s">
        <v>3</v>
      </c>
      <c r="R173" s="152" t="s">
        <v>3</v>
      </c>
    </row>
    <row r="174" spans="1:18" ht="20.100000000000001" customHeight="1" x14ac:dyDescent="0.2">
      <c r="A174" s="130" t="s">
        <v>7</v>
      </c>
      <c r="B174" s="132" t="s">
        <v>1316</v>
      </c>
      <c r="C174" s="135" t="s">
        <v>1317</v>
      </c>
      <c r="D174" s="131">
        <v>411.4</v>
      </c>
      <c r="E174" s="121" t="s">
        <v>3</v>
      </c>
      <c r="F174" s="152" t="s">
        <v>3</v>
      </c>
      <c r="G174" s="121" t="s">
        <v>3</v>
      </c>
      <c r="H174" s="152" t="s">
        <v>2</v>
      </c>
      <c r="I174" s="121" t="s">
        <v>3</v>
      </c>
      <c r="J174" s="152" t="s">
        <v>3</v>
      </c>
      <c r="K174" s="121" t="s">
        <v>3</v>
      </c>
      <c r="L174" s="152" t="s">
        <v>3</v>
      </c>
      <c r="M174" s="121" t="s">
        <v>3</v>
      </c>
      <c r="N174" s="152"/>
      <c r="O174" s="121" t="s">
        <v>3</v>
      </c>
      <c r="P174" s="152" t="s">
        <v>3</v>
      </c>
      <c r="Q174" s="121" t="s">
        <v>3</v>
      </c>
      <c r="R174" s="152" t="s">
        <v>3</v>
      </c>
    </row>
    <row r="175" spans="1:18" ht="20.100000000000001" customHeight="1" x14ac:dyDescent="0.2">
      <c r="A175" s="130" t="s">
        <v>7</v>
      </c>
      <c r="B175" s="132"/>
      <c r="C175" s="135" t="s">
        <v>1385</v>
      </c>
      <c r="D175" s="131">
        <v>0</v>
      </c>
      <c r="E175" s="121" t="s">
        <v>2</v>
      </c>
      <c r="F175" s="152" t="s">
        <v>2</v>
      </c>
      <c r="G175" s="121" t="s">
        <v>2</v>
      </c>
      <c r="H175" s="152" t="s">
        <v>2</v>
      </c>
      <c r="I175" s="121" t="s">
        <v>2</v>
      </c>
      <c r="J175" s="152" t="s">
        <v>2</v>
      </c>
      <c r="K175" s="121" t="s">
        <v>2</v>
      </c>
      <c r="L175" s="152" t="s">
        <v>2</v>
      </c>
      <c r="M175" s="121" t="s">
        <v>2</v>
      </c>
      <c r="N175" s="152"/>
      <c r="O175" s="121" t="s">
        <v>2</v>
      </c>
      <c r="P175" s="152" t="s">
        <v>2</v>
      </c>
      <c r="Q175" s="121" t="s">
        <v>2</v>
      </c>
      <c r="R175" s="152" t="s">
        <v>2</v>
      </c>
    </row>
    <row r="176" spans="1:18" ht="20.100000000000001" customHeight="1" x14ac:dyDescent="0.2">
      <c r="A176" s="130" t="s">
        <v>7</v>
      </c>
      <c r="B176" s="132" t="s">
        <v>1318</v>
      </c>
      <c r="C176" s="135" t="s">
        <v>1319</v>
      </c>
      <c r="D176" s="131">
        <v>407</v>
      </c>
      <c r="E176" s="121" t="s">
        <v>2</v>
      </c>
      <c r="F176" s="152" t="s">
        <v>2</v>
      </c>
      <c r="G176" s="121" t="s">
        <v>2</v>
      </c>
      <c r="H176" s="152" t="s">
        <v>2</v>
      </c>
      <c r="I176" s="121" t="s">
        <v>2</v>
      </c>
      <c r="J176" s="152" t="s">
        <v>2</v>
      </c>
      <c r="K176" s="121" t="s">
        <v>2</v>
      </c>
      <c r="L176" s="152" t="s">
        <v>2</v>
      </c>
      <c r="M176" s="121" t="s">
        <v>2</v>
      </c>
      <c r="N176" s="152"/>
      <c r="O176" s="121" t="s">
        <v>2</v>
      </c>
      <c r="P176" s="152" t="s">
        <v>1762</v>
      </c>
      <c r="Q176" s="121" t="s">
        <v>1762</v>
      </c>
      <c r="R176" s="152" t="s">
        <v>2</v>
      </c>
    </row>
    <row r="177" spans="1:18" ht="20.100000000000001" customHeight="1" x14ac:dyDescent="0.2">
      <c r="A177" s="130" t="s">
        <v>7</v>
      </c>
      <c r="B177" s="132"/>
      <c r="C177" s="135" t="s">
        <v>1386</v>
      </c>
      <c r="D177" s="131">
        <v>0</v>
      </c>
      <c r="E177" s="121" t="s">
        <v>2</v>
      </c>
      <c r="F177" s="152" t="s">
        <v>2</v>
      </c>
      <c r="G177" s="121" t="s">
        <v>2</v>
      </c>
      <c r="H177" s="152" t="s">
        <v>2</v>
      </c>
      <c r="I177" s="121" t="s">
        <v>2</v>
      </c>
      <c r="J177" s="152" t="s">
        <v>2</v>
      </c>
      <c r="K177" s="121" t="s">
        <v>2</v>
      </c>
      <c r="L177" s="152" t="s">
        <v>2</v>
      </c>
      <c r="M177" s="121" t="s">
        <v>2</v>
      </c>
      <c r="N177" s="152"/>
      <c r="O177" s="121" t="s">
        <v>2</v>
      </c>
      <c r="P177" s="152" t="s">
        <v>2</v>
      </c>
      <c r="Q177" s="121" t="s">
        <v>2</v>
      </c>
      <c r="R177" s="152" t="s">
        <v>2</v>
      </c>
    </row>
    <row r="178" spans="1:18" ht="20.100000000000001" customHeight="1" x14ac:dyDescent="0.2">
      <c r="A178" s="130" t="s">
        <v>7</v>
      </c>
      <c r="B178" s="132"/>
      <c r="C178" s="135" t="s">
        <v>1387</v>
      </c>
      <c r="D178" s="131">
        <v>0</v>
      </c>
      <c r="E178" s="121" t="s">
        <v>2</v>
      </c>
      <c r="F178" s="152" t="s">
        <v>2</v>
      </c>
      <c r="G178" s="121" t="s">
        <v>2</v>
      </c>
      <c r="H178" s="152" t="s">
        <v>2</v>
      </c>
      <c r="I178" s="121" t="s">
        <v>2</v>
      </c>
      <c r="J178" s="152" t="s">
        <v>2</v>
      </c>
      <c r="K178" s="121" t="s">
        <v>2</v>
      </c>
      <c r="L178" s="152" t="s">
        <v>2</v>
      </c>
      <c r="M178" s="121" t="s">
        <v>2</v>
      </c>
      <c r="N178" s="152"/>
      <c r="O178" s="121" t="s">
        <v>2</v>
      </c>
      <c r="P178" s="152" t="s">
        <v>2</v>
      </c>
      <c r="Q178" s="121" t="s">
        <v>2</v>
      </c>
      <c r="R178" s="152" t="s">
        <v>2</v>
      </c>
    </row>
    <row r="179" spans="1:18" ht="20.100000000000001" customHeight="1" x14ac:dyDescent="0.2">
      <c r="A179" s="130" t="s">
        <v>7</v>
      </c>
      <c r="B179" s="132" t="s">
        <v>1320</v>
      </c>
      <c r="C179" s="135" t="s">
        <v>1321</v>
      </c>
      <c r="D179" s="131">
        <v>381.7</v>
      </c>
      <c r="E179" s="121" t="s">
        <v>3</v>
      </c>
      <c r="F179" s="152" t="s">
        <v>3</v>
      </c>
      <c r="G179" s="121" t="s">
        <v>3</v>
      </c>
      <c r="H179" s="152" t="s">
        <v>3</v>
      </c>
      <c r="I179" s="121" t="s">
        <v>3</v>
      </c>
      <c r="J179" s="152" t="s">
        <v>3</v>
      </c>
      <c r="K179" s="121" t="s">
        <v>3</v>
      </c>
      <c r="L179" s="152" t="s">
        <v>3</v>
      </c>
      <c r="M179" s="121" t="s">
        <v>3</v>
      </c>
      <c r="N179" s="152"/>
      <c r="O179" s="121" t="s">
        <v>3</v>
      </c>
      <c r="P179" s="152" t="s">
        <v>3</v>
      </c>
      <c r="Q179" s="121" t="s">
        <v>3</v>
      </c>
      <c r="R179" s="152" t="s">
        <v>3</v>
      </c>
    </row>
    <row r="180" spans="1:18" ht="20.100000000000001" customHeight="1" x14ac:dyDescent="0.2">
      <c r="A180" s="130" t="s">
        <v>7</v>
      </c>
      <c r="B180" s="132" t="s">
        <v>1322</v>
      </c>
      <c r="C180" s="135" t="s">
        <v>1323</v>
      </c>
      <c r="D180" s="131">
        <v>440</v>
      </c>
      <c r="E180" s="121" t="s">
        <v>3</v>
      </c>
      <c r="F180" s="152" t="s">
        <v>3</v>
      </c>
      <c r="G180" s="121" t="s">
        <v>3</v>
      </c>
      <c r="H180" s="152" t="s">
        <v>3</v>
      </c>
      <c r="I180" s="121" t="s">
        <v>3</v>
      </c>
      <c r="J180" s="152" t="s">
        <v>3</v>
      </c>
      <c r="K180" s="121" t="s">
        <v>3</v>
      </c>
      <c r="L180" s="152" t="s">
        <v>3</v>
      </c>
      <c r="M180" s="121" t="s">
        <v>3</v>
      </c>
      <c r="N180" s="152"/>
      <c r="O180" s="121" t="s">
        <v>3</v>
      </c>
      <c r="P180" s="152" t="s">
        <v>3</v>
      </c>
      <c r="Q180" s="121" t="s">
        <v>3</v>
      </c>
      <c r="R180" s="152" t="s">
        <v>3</v>
      </c>
    </row>
    <row r="181" spans="1:18" ht="20.100000000000001" customHeight="1" x14ac:dyDescent="0.2">
      <c r="A181" s="130" t="s">
        <v>7</v>
      </c>
      <c r="B181" s="132" t="s">
        <v>1324</v>
      </c>
      <c r="C181" s="135" t="s">
        <v>1325</v>
      </c>
      <c r="D181" s="131">
        <v>761.2</v>
      </c>
      <c r="E181" s="121" t="s">
        <v>3</v>
      </c>
      <c r="F181" s="152" t="s">
        <v>3</v>
      </c>
      <c r="G181" s="121" t="s">
        <v>3</v>
      </c>
      <c r="H181" s="152" t="s">
        <v>3</v>
      </c>
      <c r="I181" s="121" t="s">
        <v>3</v>
      </c>
      <c r="J181" s="152" t="s">
        <v>3</v>
      </c>
      <c r="K181" s="121" t="s">
        <v>3</v>
      </c>
      <c r="L181" s="152" t="s">
        <v>3</v>
      </c>
      <c r="M181" s="121" t="s">
        <v>3</v>
      </c>
      <c r="N181" s="152"/>
      <c r="O181" s="121" t="s">
        <v>3</v>
      </c>
      <c r="P181" s="152" t="s">
        <v>1762</v>
      </c>
      <c r="Q181" s="121" t="s">
        <v>1762</v>
      </c>
      <c r="R181" s="152" t="s">
        <v>3</v>
      </c>
    </row>
    <row r="182" spans="1:18" ht="20.100000000000001" customHeight="1" x14ac:dyDescent="0.2">
      <c r="A182" s="130" t="s">
        <v>7</v>
      </c>
      <c r="B182" s="132" t="s">
        <v>2009</v>
      </c>
      <c r="C182" s="135" t="s">
        <v>2404</v>
      </c>
      <c r="D182" s="131">
        <v>440</v>
      </c>
      <c r="E182" s="121" t="s">
        <v>3</v>
      </c>
      <c r="F182" s="152" t="s">
        <v>2</v>
      </c>
      <c r="G182" s="121" t="s">
        <v>3</v>
      </c>
      <c r="H182" s="152" t="s">
        <v>3</v>
      </c>
      <c r="I182" s="121" t="s">
        <v>3</v>
      </c>
      <c r="J182" s="152" t="s">
        <v>2</v>
      </c>
      <c r="K182" s="121" t="s">
        <v>3</v>
      </c>
      <c r="L182" s="152" t="s">
        <v>2</v>
      </c>
      <c r="M182" s="121" t="s">
        <v>2</v>
      </c>
      <c r="N182" s="152"/>
      <c r="O182" s="121" t="s">
        <v>2</v>
      </c>
      <c r="P182" s="152" t="s">
        <v>3</v>
      </c>
      <c r="Q182" s="121" t="s">
        <v>3</v>
      </c>
      <c r="R182" s="152" t="s">
        <v>2</v>
      </c>
    </row>
    <row r="183" spans="1:18" ht="20.100000000000001" customHeight="1" x14ac:dyDescent="0.2">
      <c r="A183" s="130" t="s">
        <v>7</v>
      </c>
      <c r="B183" s="132" t="s">
        <v>2008</v>
      </c>
      <c r="C183" s="135" t="s">
        <v>2405</v>
      </c>
      <c r="D183" s="131">
        <v>381.7</v>
      </c>
      <c r="E183" s="121" t="s">
        <v>3</v>
      </c>
      <c r="F183" s="152" t="s">
        <v>2</v>
      </c>
      <c r="G183" s="121" t="s">
        <v>3</v>
      </c>
      <c r="H183" s="152" t="s">
        <v>3</v>
      </c>
      <c r="I183" s="121" t="s">
        <v>3</v>
      </c>
      <c r="J183" s="152" t="s">
        <v>2</v>
      </c>
      <c r="K183" s="121" t="s">
        <v>3</v>
      </c>
      <c r="L183" s="152" t="s">
        <v>2</v>
      </c>
      <c r="M183" s="121" t="s">
        <v>2</v>
      </c>
      <c r="N183" s="152"/>
      <c r="O183" s="121" t="s">
        <v>2</v>
      </c>
      <c r="P183" s="152" t="s">
        <v>3</v>
      </c>
      <c r="Q183" s="121" t="s">
        <v>3</v>
      </c>
      <c r="R183" s="152" t="s">
        <v>2</v>
      </c>
    </row>
    <row r="184" spans="1:18" ht="20.100000000000001" customHeight="1" x14ac:dyDescent="0.2">
      <c r="A184" s="130" t="s">
        <v>7</v>
      </c>
      <c r="B184" s="132" t="s">
        <v>2010</v>
      </c>
      <c r="C184" s="135" t="s">
        <v>2406</v>
      </c>
      <c r="D184" s="131">
        <v>761.2</v>
      </c>
      <c r="E184" s="121" t="s">
        <v>3</v>
      </c>
      <c r="F184" s="152" t="s">
        <v>2</v>
      </c>
      <c r="G184" s="121" t="s">
        <v>3</v>
      </c>
      <c r="H184" s="152" t="s">
        <v>3</v>
      </c>
      <c r="I184" s="121" t="s">
        <v>3</v>
      </c>
      <c r="J184" s="152" t="s">
        <v>2</v>
      </c>
      <c r="K184" s="121" t="s">
        <v>3</v>
      </c>
      <c r="L184" s="152" t="s">
        <v>2</v>
      </c>
      <c r="M184" s="121" t="s">
        <v>2</v>
      </c>
      <c r="N184" s="152"/>
      <c r="O184" s="121" t="s">
        <v>2</v>
      </c>
      <c r="P184" s="152" t="s">
        <v>3</v>
      </c>
      <c r="Q184" s="121" t="s">
        <v>3</v>
      </c>
      <c r="R184" s="152" t="s">
        <v>2</v>
      </c>
    </row>
    <row r="185" spans="1:18" ht="20.100000000000001" customHeight="1" x14ac:dyDescent="0.2">
      <c r="A185" s="130" t="s">
        <v>7</v>
      </c>
      <c r="B185" s="132" t="s">
        <v>2011</v>
      </c>
      <c r="C185" s="135" t="s">
        <v>2407</v>
      </c>
      <c r="D185" s="131">
        <v>940.5</v>
      </c>
      <c r="E185" s="121" t="s">
        <v>3</v>
      </c>
      <c r="F185" s="152" t="s">
        <v>2</v>
      </c>
      <c r="G185" s="121" t="s">
        <v>3</v>
      </c>
      <c r="H185" s="152" t="s">
        <v>3</v>
      </c>
      <c r="I185" s="121" t="s">
        <v>3</v>
      </c>
      <c r="J185" s="152" t="s">
        <v>2</v>
      </c>
      <c r="K185" s="121" t="s">
        <v>3</v>
      </c>
      <c r="L185" s="152" t="s">
        <v>2</v>
      </c>
      <c r="M185" s="121" t="s">
        <v>2</v>
      </c>
      <c r="N185" s="152"/>
      <c r="O185" s="121" t="s">
        <v>2</v>
      </c>
      <c r="P185" s="152" t="s">
        <v>3</v>
      </c>
      <c r="Q185" s="121" t="s">
        <v>3</v>
      </c>
      <c r="R185" s="152" t="s">
        <v>2</v>
      </c>
    </row>
    <row r="186" spans="1:18" ht="20.100000000000001" customHeight="1" x14ac:dyDescent="0.2">
      <c r="A186" s="130" t="s">
        <v>7</v>
      </c>
      <c r="B186" s="132" t="s">
        <v>2408</v>
      </c>
      <c r="C186" s="135" t="s">
        <v>2409</v>
      </c>
      <c r="D186" s="131">
        <v>605</v>
      </c>
      <c r="E186" s="121" t="s">
        <v>3</v>
      </c>
      <c r="F186" s="152" t="s">
        <v>3</v>
      </c>
      <c r="G186" s="121" t="s">
        <v>3</v>
      </c>
      <c r="H186" s="152" t="s">
        <v>2</v>
      </c>
      <c r="I186" s="121" t="s">
        <v>3</v>
      </c>
      <c r="J186" s="152" t="s">
        <v>3</v>
      </c>
      <c r="K186" s="121" t="s">
        <v>2</v>
      </c>
      <c r="L186" s="152" t="s">
        <v>3</v>
      </c>
      <c r="M186" s="121" t="s">
        <v>3</v>
      </c>
      <c r="N186" s="152"/>
      <c r="O186" s="121" t="s">
        <v>3</v>
      </c>
      <c r="P186" s="152" t="s">
        <v>3</v>
      </c>
      <c r="Q186" s="121" t="s">
        <v>3</v>
      </c>
      <c r="R186" s="152" t="s">
        <v>3</v>
      </c>
    </row>
    <row r="187" spans="1:18" ht="20.100000000000001" customHeight="1" x14ac:dyDescent="0.2">
      <c r="A187" s="130" t="s">
        <v>7</v>
      </c>
      <c r="B187" s="132" t="s">
        <v>2410</v>
      </c>
      <c r="C187" s="135" t="s">
        <v>2411</v>
      </c>
      <c r="D187" s="131">
        <v>1246.3</v>
      </c>
      <c r="E187" s="121" t="s">
        <v>3</v>
      </c>
      <c r="F187" s="152" t="s">
        <v>3</v>
      </c>
      <c r="G187" s="121" t="s">
        <v>3</v>
      </c>
      <c r="H187" s="152" t="s">
        <v>2</v>
      </c>
      <c r="I187" s="121" t="s">
        <v>3</v>
      </c>
      <c r="J187" s="152" t="s">
        <v>3</v>
      </c>
      <c r="K187" s="121" t="s">
        <v>2</v>
      </c>
      <c r="L187" s="152" t="s">
        <v>3</v>
      </c>
      <c r="M187" s="121" t="s">
        <v>3</v>
      </c>
      <c r="N187" s="152"/>
      <c r="O187" s="121" t="s">
        <v>3</v>
      </c>
      <c r="P187" s="152" t="s">
        <v>3</v>
      </c>
      <c r="Q187" s="121" t="s">
        <v>3</v>
      </c>
      <c r="R187" s="152" t="s">
        <v>3</v>
      </c>
    </row>
    <row r="188" spans="1:18" ht="20.100000000000001" customHeight="1" x14ac:dyDescent="0.2">
      <c r="A188" s="130" t="s">
        <v>7</v>
      </c>
      <c r="B188" s="132" t="s">
        <v>1326</v>
      </c>
      <c r="C188" s="135" t="s">
        <v>1327</v>
      </c>
      <c r="D188" s="131">
        <v>336.6</v>
      </c>
      <c r="E188" s="121" t="s">
        <v>3</v>
      </c>
      <c r="F188" s="152" t="s">
        <v>3</v>
      </c>
      <c r="G188" s="121" t="s">
        <v>3</v>
      </c>
      <c r="H188" s="152" t="s">
        <v>2</v>
      </c>
      <c r="I188" s="121" t="s">
        <v>3</v>
      </c>
      <c r="J188" s="152" t="s">
        <v>3</v>
      </c>
      <c r="K188" s="121" t="s">
        <v>2</v>
      </c>
      <c r="L188" s="152" t="s">
        <v>3</v>
      </c>
      <c r="M188" s="121" t="s">
        <v>3</v>
      </c>
      <c r="N188" s="152"/>
      <c r="O188" s="121" t="s">
        <v>3</v>
      </c>
      <c r="P188" s="152" t="s">
        <v>3</v>
      </c>
      <c r="Q188" s="121" t="s">
        <v>3</v>
      </c>
      <c r="R188" s="152" t="s">
        <v>3</v>
      </c>
    </row>
    <row r="189" spans="1:18" ht="20.100000000000001" customHeight="1" x14ac:dyDescent="0.2">
      <c r="A189" s="130" t="s">
        <v>7</v>
      </c>
      <c r="B189" s="132" t="s">
        <v>1328</v>
      </c>
      <c r="C189" s="135" t="s">
        <v>1329</v>
      </c>
      <c r="D189" s="131">
        <v>605</v>
      </c>
      <c r="E189" s="121" t="s">
        <v>3</v>
      </c>
      <c r="F189" s="152" t="s">
        <v>3</v>
      </c>
      <c r="G189" s="121" t="s">
        <v>3</v>
      </c>
      <c r="H189" s="152" t="s">
        <v>2</v>
      </c>
      <c r="I189" s="121" t="s">
        <v>3</v>
      </c>
      <c r="J189" s="152" t="s">
        <v>3</v>
      </c>
      <c r="K189" s="121" t="s">
        <v>2</v>
      </c>
      <c r="L189" s="152" t="s">
        <v>3</v>
      </c>
      <c r="M189" s="121" t="s">
        <v>3</v>
      </c>
      <c r="N189" s="152"/>
      <c r="O189" s="121" t="s">
        <v>3</v>
      </c>
      <c r="P189" s="152" t="s">
        <v>3</v>
      </c>
      <c r="Q189" s="121" t="s">
        <v>3</v>
      </c>
      <c r="R189" s="152" t="s">
        <v>3</v>
      </c>
    </row>
    <row r="190" spans="1:18" ht="20.100000000000001" customHeight="1" x14ac:dyDescent="0.2">
      <c r="A190" s="130" t="s">
        <v>7</v>
      </c>
      <c r="B190" s="132" t="s">
        <v>1330</v>
      </c>
      <c r="C190" s="135" t="s">
        <v>1331</v>
      </c>
      <c r="D190" s="131">
        <v>363</v>
      </c>
      <c r="E190" s="121" t="s">
        <v>2</v>
      </c>
      <c r="F190" s="152" t="s">
        <v>3</v>
      </c>
      <c r="G190" s="121" t="s">
        <v>3</v>
      </c>
      <c r="H190" s="152" t="s">
        <v>3</v>
      </c>
      <c r="I190" s="121" t="s">
        <v>2</v>
      </c>
      <c r="J190" s="152" t="s">
        <v>3</v>
      </c>
      <c r="K190" s="121" t="s">
        <v>3</v>
      </c>
      <c r="L190" s="152" t="s">
        <v>3</v>
      </c>
      <c r="M190" s="121" t="s">
        <v>3</v>
      </c>
      <c r="N190" s="152"/>
      <c r="O190" s="121" t="s">
        <v>3</v>
      </c>
      <c r="P190" s="152" t="s">
        <v>3</v>
      </c>
      <c r="Q190" s="121" t="s">
        <v>3</v>
      </c>
      <c r="R190" s="152" t="s">
        <v>3</v>
      </c>
    </row>
    <row r="191" spans="1:18" ht="20.100000000000001" customHeight="1" x14ac:dyDescent="0.2">
      <c r="A191" s="130" t="s">
        <v>7</v>
      </c>
      <c r="B191" s="132" t="s">
        <v>1332</v>
      </c>
      <c r="C191" s="135" t="s">
        <v>1333</v>
      </c>
      <c r="D191" s="131">
        <v>446.6</v>
      </c>
      <c r="E191" s="121" t="s">
        <v>3</v>
      </c>
      <c r="F191" s="152" t="s">
        <v>2</v>
      </c>
      <c r="G191" s="121" t="s">
        <v>3</v>
      </c>
      <c r="H191" s="152" t="s">
        <v>3</v>
      </c>
      <c r="I191" s="121" t="s">
        <v>3</v>
      </c>
      <c r="J191" s="152" t="s">
        <v>2</v>
      </c>
      <c r="K191" s="121" t="s">
        <v>3</v>
      </c>
      <c r="L191" s="152" t="s">
        <v>2</v>
      </c>
      <c r="M191" s="121" t="s">
        <v>2</v>
      </c>
      <c r="N191" s="152"/>
      <c r="O191" s="121" t="s">
        <v>2</v>
      </c>
      <c r="P191" s="152" t="s">
        <v>2</v>
      </c>
      <c r="Q191" s="121" t="s">
        <v>2</v>
      </c>
      <c r="R191" s="152" t="s">
        <v>2</v>
      </c>
    </row>
    <row r="192" spans="1:18" ht="20.100000000000001" customHeight="1" x14ac:dyDescent="0.2">
      <c r="A192" s="130" t="s">
        <v>7</v>
      </c>
      <c r="B192" s="132" t="s">
        <v>1334</v>
      </c>
      <c r="C192" s="135" t="s">
        <v>1335</v>
      </c>
      <c r="D192" s="131">
        <v>279.39999999999998</v>
      </c>
      <c r="E192" s="121" t="s">
        <v>3</v>
      </c>
      <c r="F192" s="152" t="s">
        <v>3</v>
      </c>
      <c r="G192" s="121" t="s">
        <v>3</v>
      </c>
      <c r="H192" s="152" t="s">
        <v>2</v>
      </c>
      <c r="I192" s="121" t="s">
        <v>3</v>
      </c>
      <c r="J192" s="152" t="s">
        <v>3</v>
      </c>
      <c r="K192" s="121" t="s">
        <v>2</v>
      </c>
      <c r="L192" s="152" t="s">
        <v>3</v>
      </c>
      <c r="M192" s="121" t="s">
        <v>3</v>
      </c>
      <c r="N192" s="152"/>
      <c r="O192" s="121" t="s">
        <v>3</v>
      </c>
      <c r="P192" s="152" t="s">
        <v>3</v>
      </c>
      <c r="Q192" s="121" t="s">
        <v>3</v>
      </c>
      <c r="R192" s="152" t="s">
        <v>3</v>
      </c>
    </row>
    <row r="193" spans="1:18" ht="20.100000000000001" customHeight="1" x14ac:dyDescent="0.2">
      <c r="A193" s="130" t="s">
        <v>7</v>
      </c>
      <c r="B193" s="132" t="s">
        <v>1336</v>
      </c>
      <c r="C193" s="135" t="s">
        <v>1337</v>
      </c>
      <c r="D193" s="131">
        <v>121</v>
      </c>
      <c r="E193" s="121" t="s">
        <v>2</v>
      </c>
      <c r="F193" s="152" t="s">
        <v>3</v>
      </c>
      <c r="G193" s="121" t="s">
        <v>3</v>
      </c>
      <c r="H193" s="152" t="s">
        <v>3</v>
      </c>
      <c r="I193" s="121" t="s">
        <v>2</v>
      </c>
      <c r="J193" s="152" t="s">
        <v>3</v>
      </c>
      <c r="K193" s="121" t="s">
        <v>3</v>
      </c>
      <c r="L193" s="152" t="s">
        <v>3</v>
      </c>
      <c r="M193" s="121" t="s">
        <v>3</v>
      </c>
      <c r="N193" s="152"/>
      <c r="O193" s="121" t="s">
        <v>3</v>
      </c>
      <c r="P193" s="152" t="s">
        <v>3</v>
      </c>
      <c r="Q193" s="121" t="s">
        <v>3</v>
      </c>
      <c r="R193" s="152" t="s">
        <v>3</v>
      </c>
    </row>
    <row r="194" spans="1:18" ht="20.100000000000001" customHeight="1" x14ac:dyDescent="0.2">
      <c r="A194" s="130" t="s">
        <v>7</v>
      </c>
      <c r="B194" s="132" t="s">
        <v>1338</v>
      </c>
      <c r="C194" s="135" t="s">
        <v>1339</v>
      </c>
      <c r="D194" s="131">
        <v>145.19999999999999</v>
      </c>
      <c r="E194" s="121" t="s">
        <v>3</v>
      </c>
      <c r="F194" s="152" t="s">
        <v>3</v>
      </c>
      <c r="G194" s="121" t="s">
        <v>3</v>
      </c>
      <c r="H194" s="152" t="s">
        <v>3</v>
      </c>
      <c r="I194" s="121" t="s">
        <v>3</v>
      </c>
      <c r="J194" s="152" t="s">
        <v>3</v>
      </c>
      <c r="K194" s="121" t="s">
        <v>3</v>
      </c>
      <c r="L194" s="152" t="s">
        <v>3</v>
      </c>
      <c r="M194" s="121" t="s">
        <v>3</v>
      </c>
      <c r="N194" s="152"/>
      <c r="O194" s="121" t="s">
        <v>3</v>
      </c>
      <c r="P194" s="152" t="s">
        <v>3</v>
      </c>
      <c r="Q194" s="121" t="s">
        <v>3</v>
      </c>
      <c r="R194" s="152" t="s">
        <v>3</v>
      </c>
    </row>
    <row r="195" spans="1:18" ht="20.100000000000001" customHeight="1" x14ac:dyDescent="0.2">
      <c r="A195" s="130" t="s">
        <v>7</v>
      </c>
      <c r="B195" s="132" t="s">
        <v>2012</v>
      </c>
      <c r="C195" s="135" t="s">
        <v>2412</v>
      </c>
      <c r="D195" s="131">
        <v>145.19999999999999</v>
      </c>
      <c r="E195" s="121" t="s">
        <v>3</v>
      </c>
      <c r="F195" s="152" t="s">
        <v>2</v>
      </c>
      <c r="G195" s="121" t="s">
        <v>3</v>
      </c>
      <c r="H195" s="152" t="s">
        <v>3</v>
      </c>
      <c r="I195" s="121" t="s">
        <v>3</v>
      </c>
      <c r="J195" s="152" t="s">
        <v>2</v>
      </c>
      <c r="K195" s="121" t="s">
        <v>2</v>
      </c>
      <c r="L195" s="152" t="s">
        <v>2</v>
      </c>
      <c r="M195" s="121" t="s">
        <v>2</v>
      </c>
      <c r="N195" s="152"/>
      <c r="O195" s="121" t="s">
        <v>2</v>
      </c>
      <c r="P195" s="152" t="s">
        <v>3</v>
      </c>
      <c r="Q195" s="121" t="s">
        <v>3</v>
      </c>
      <c r="R195" s="152" t="s">
        <v>2</v>
      </c>
    </row>
    <row r="196" spans="1:18" ht="20.100000000000001" customHeight="1" x14ac:dyDescent="0.2">
      <c r="A196" s="130" t="s">
        <v>7</v>
      </c>
      <c r="B196" s="132" t="s">
        <v>1340</v>
      </c>
      <c r="C196" s="135" t="s">
        <v>1341</v>
      </c>
      <c r="D196" s="131">
        <v>204.6</v>
      </c>
      <c r="E196" s="121" t="s">
        <v>3</v>
      </c>
      <c r="F196" s="152" t="s">
        <v>3</v>
      </c>
      <c r="G196" s="121" t="s">
        <v>2</v>
      </c>
      <c r="H196" s="152" t="s">
        <v>3</v>
      </c>
      <c r="I196" s="121" t="s">
        <v>3</v>
      </c>
      <c r="J196" s="152" t="s">
        <v>3</v>
      </c>
      <c r="K196" s="121" t="s">
        <v>3</v>
      </c>
      <c r="L196" s="152" t="s">
        <v>3</v>
      </c>
      <c r="M196" s="121" t="s">
        <v>3</v>
      </c>
      <c r="N196" s="152"/>
      <c r="O196" s="121" t="s">
        <v>3</v>
      </c>
      <c r="P196" s="152" t="s">
        <v>3</v>
      </c>
      <c r="Q196" s="121" t="s">
        <v>3</v>
      </c>
      <c r="R196" s="152" t="s">
        <v>3</v>
      </c>
    </row>
    <row r="197" spans="1:18" ht="20.100000000000001" customHeight="1" x14ac:dyDescent="0.2">
      <c r="A197" s="130" t="s">
        <v>7</v>
      </c>
      <c r="B197" s="132" t="s">
        <v>2413</v>
      </c>
      <c r="C197" s="135" t="s">
        <v>2414</v>
      </c>
      <c r="D197" s="131">
        <v>176</v>
      </c>
      <c r="E197" s="121" t="s">
        <v>3</v>
      </c>
      <c r="F197" s="152" t="s">
        <v>3</v>
      </c>
      <c r="G197" s="121" t="s">
        <v>2</v>
      </c>
      <c r="H197" s="152" t="s">
        <v>3</v>
      </c>
      <c r="I197" s="121" t="s">
        <v>3</v>
      </c>
      <c r="J197" s="152" t="s">
        <v>3</v>
      </c>
      <c r="K197" s="121" t="s">
        <v>3</v>
      </c>
      <c r="L197" s="152" t="s">
        <v>3</v>
      </c>
      <c r="M197" s="121" t="s">
        <v>3</v>
      </c>
      <c r="N197" s="152"/>
      <c r="O197" s="121" t="s">
        <v>3</v>
      </c>
      <c r="P197" s="152" t="s">
        <v>3</v>
      </c>
      <c r="Q197" s="121" t="s">
        <v>3</v>
      </c>
      <c r="R197" s="152" t="s">
        <v>3</v>
      </c>
    </row>
    <row r="198" spans="1:18" ht="20.100000000000001" customHeight="1" x14ac:dyDescent="0.2">
      <c r="A198" s="130" t="s">
        <v>7</v>
      </c>
      <c r="B198" s="132" t="s">
        <v>1342</v>
      </c>
      <c r="C198" s="135" t="s">
        <v>2415</v>
      </c>
      <c r="D198" s="131">
        <v>117.7</v>
      </c>
      <c r="E198" s="121" t="s">
        <v>3</v>
      </c>
      <c r="F198" s="152" t="s">
        <v>3</v>
      </c>
      <c r="G198" s="121" t="s">
        <v>3</v>
      </c>
      <c r="H198" s="152" t="s">
        <v>2</v>
      </c>
      <c r="I198" s="121" t="s">
        <v>3</v>
      </c>
      <c r="J198" s="152" t="s">
        <v>3</v>
      </c>
      <c r="K198" s="121" t="s">
        <v>2</v>
      </c>
      <c r="L198" s="152" t="s">
        <v>3</v>
      </c>
      <c r="M198" s="121" t="s">
        <v>3</v>
      </c>
      <c r="N198" s="152"/>
      <c r="O198" s="121" t="s">
        <v>3</v>
      </c>
      <c r="P198" s="152" t="s">
        <v>3</v>
      </c>
      <c r="Q198" s="121" t="s">
        <v>3</v>
      </c>
      <c r="R198" s="152" t="s">
        <v>3</v>
      </c>
    </row>
    <row r="199" spans="1:18" ht="20.100000000000001" customHeight="1" x14ac:dyDescent="0.2">
      <c r="A199" s="130" t="s">
        <v>7</v>
      </c>
      <c r="B199" s="132" t="s">
        <v>1343</v>
      </c>
      <c r="C199" s="135" t="s">
        <v>2416</v>
      </c>
      <c r="D199" s="131">
        <v>132</v>
      </c>
      <c r="E199" s="121" t="s">
        <v>3</v>
      </c>
      <c r="F199" s="152" t="s">
        <v>3</v>
      </c>
      <c r="G199" s="121" t="s">
        <v>3</v>
      </c>
      <c r="H199" s="152" t="s">
        <v>2</v>
      </c>
      <c r="I199" s="121" t="s">
        <v>3</v>
      </c>
      <c r="J199" s="152" t="s">
        <v>3</v>
      </c>
      <c r="K199" s="121" t="s">
        <v>2</v>
      </c>
      <c r="L199" s="152" t="s">
        <v>3</v>
      </c>
      <c r="M199" s="121" t="s">
        <v>3</v>
      </c>
      <c r="N199" s="152"/>
      <c r="O199" s="121" t="s">
        <v>3</v>
      </c>
      <c r="P199" s="152" t="s">
        <v>3</v>
      </c>
      <c r="Q199" s="121" t="s">
        <v>3</v>
      </c>
      <c r="R199" s="152" t="s">
        <v>3</v>
      </c>
    </row>
    <row r="200" spans="1:18" ht="20.100000000000001" customHeight="1" x14ac:dyDescent="0.2">
      <c r="A200" s="130" t="s">
        <v>7</v>
      </c>
      <c r="B200" s="132" t="s">
        <v>1344</v>
      </c>
      <c r="C200" s="135" t="s">
        <v>1345</v>
      </c>
      <c r="D200" s="131">
        <v>249.7</v>
      </c>
      <c r="E200" s="121" t="s">
        <v>2</v>
      </c>
      <c r="F200" s="152" t="s">
        <v>2</v>
      </c>
      <c r="G200" s="121" t="s">
        <v>2</v>
      </c>
      <c r="H200" s="152" t="s">
        <v>2</v>
      </c>
      <c r="I200" s="121" t="s">
        <v>2</v>
      </c>
      <c r="J200" s="152" t="s">
        <v>2</v>
      </c>
      <c r="K200" s="121" t="s">
        <v>2</v>
      </c>
      <c r="L200" s="152" t="s">
        <v>2</v>
      </c>
      <c r="M200" s="121" t="s">
        <v>2</v>
      </c>
      <c r="N200" s="152"/>
      <c r="O200" s="121" t="s">
        <v>2</v>
      </c>
      <c r="P200" s="152" t="s">
        <v>2</v>
      </c>
      <c r="Q200" s="121" t="s">
        <v>2</v>
      </c>
      <c r="R200" s="152" t="s">
        <v>2</v>
      </c>
    </row>
    <row r="201" spans="1:18" ht="20.100000000000001" customHeight="1" x14ac:dyDescent="0.2">
      <c r="A201" s="130" t="s">
        <v>7</v>
      </c>
      <c r="B201" s="132" t="s">
        <v>1346</v>
      </c>
      <c r="C201" s="135" t="s">
        <v>1347</v>
      </c>
      <c r="D201" s="131">
        <v>192.5</v>
      </c>
      <c r="E201" s="121" t="s">
        <v>2</v>
      </c>
      <c r="F201" s="152" t="s">
        <v>2</v>
      </c>
      <c r="G201" s="121" t="s">
        <v>2</v>
      </c>
      <c r="H201" s="152" t="s">
        <v>2</v>
      </c>
      <c r="I201" s="121" t="s">
        <v>2</v>
      </c>
      <c r="J201" s="152" t="s">
        <v>2</v>
      </c>
      <c r="K201" s="121" t="s">
        <v>2</v>
      </c>
      <c r="L201" s="152" t="s">
        <v>2</v>
      </c>
      <c r="M201" s="121" t="s">
        <v>2</v>
      </c>
      <c r="N201" s="152"/>
      <c r="O201" s="121" t="s">
        <v>2</v>
      </c>
      <c r="P201" s="152" t="s">
        <v>2</v>
      </c>
      <c r="Q201" s="121" t="s">
        <v>2</v>
      </c>
      <c r="R201" s="152" t="s">
        <v>2</v>
      </c>
    </row>
    <row r="202" spans="1:18" ht="20.100000000000001" customHeight="1" x14ac:dyDescent="0.2">
      <c r="A202" s="130" t="s">
        <v>7</v>
      </c>
      <c r="B202" s="132" t="s">
        <v>1348</v>
      </c>
      <c r="C202" s="135" t="s">
        <v>1349</v>
      </c>
      <c r="D202" s="131">
        <v>126.5</v>
      </c>
      <c r="E202" s="121" t="s">
        <v>3</v>
      </c>
      <c r="F202" s="152" t="s">
        <v>3</v>
      </c>
      <c r="G202" s="121" t="s">
        <v>3</v>
      </c>
      <c r="H202" s="152" t="s">
        <v>2</v>
      </c>
      <c r="I202" s="121" t="s">
        <v>3</v>
      </c>
      <c r="J202" s="152" t="s">
        <v>2</v>
      </c>
      <c r="K202" s="121" t="s">
        <v>3</v>
      </c>
      <c r="L202" s="152" t="s">
        <v>2</v>
      </c>
      <c r="M202" s="121" t="s">
        <v>2</v>
      </c>
      <c r="N202" s="152"/>
      <c r="O202" s="121" t="s">
        <v>2</v>
      </c>
      <c r="P202" s="152" t="s">
        <v>2</v>
      </c>
      <c r="Q202" s="121" t="s">
        <v>2</v>
      </c>
      <c r="R202" s="152" t="s">
        <v>2</v>
      </c>
    </row>
    <row r="203" spans="1:18" ht="20.100000000000001" customHeight="1" x14ac:dyDescent="0.2">
      <c r="A203" s="130" t="s">
        <v>7</v>
      </c>
      <c r="B203" s="132" t="s">
        <v>1350</v>
      </c>
      <c r="C203" s="135" t="s">
        <v>1351</v>
      </c>
      <c r="D203" s="131">
        <v>126.5</v>
      </c>
      <c r="E203" s="121" t="s">
        <v>2</v>
      </c>
      <c r="F203" s="152" t="s">
        <v>3</v>
      </c>
      <c r="G203" s="121" t="s">
        <v>2</v>
      </c>
      <c r="H203" s="152" t="s">
        <v>3</v>
      </c>
      <c r="I203" s="121" t="s">
        <v>2</v>
      </c>
      <c r="J203" s="152" t="s">
        <v>3</v>
      </c>
      <c r="K203" s="121" t="s">
        <v>3</v>
      </c>
      <c r="L203" s="152" t="s">
        <v>3</v>
      </c>
      <c r="M203" s="121" t="s">
        <v>3</v>
      </c>
      <c r="N203" s="152"/>
      <c r="O203" s="121" t="s">
        <v>3</v>
      </c>
      <c r="P203" s="152" t="s">
        <v>3</v>
      </c>
      <c r="Q203" s="121" t="s">
        <v>3</v>
      </c>
      <c r="R203" s="152" t="s">
        <v>3</v>
      </c>
    </row>
    <row r="204" spans="1:18" ht="20.100000000000001" customHeight="1" x14ac:dyDescent="0.2">
      <c r="A204" s="130" t="s">
        <v>7</v>
      </c>
      <c r="B204" s="132" t="s">
        <v>2417</v>
      </c>
      <c r="C204" s="135" t="s">
        <v>2418</v>
      </c>
      <c r="D204" s="131">
        <v>126.5</v>
      </c>
      <c r="E204" s="121" t="s">
        <v>3</v>
      </c>
      <c r="F204" s="152" t="s">
        <v>2</v>
      </c>
      <c r="G204" s="121" t="s">
        <v>3</v>
      </c>
      <c r="H204" s="152" t="s">
        <v>3</v>
      </c>
      <c r="I204" s="121" t="s">
        <v>3</v>
      </c>
      <c r="J204" s="152" t="s">
        <v>2</v>
      </c>
      <c r="K204" s="121" t="s">
        <v>3</v>
      </c>
      <c r="L204" s="152" t="s">
        <v>2</v>
      </c>
      <c r="M204" s="121" t="s">
        <v>2</v>
      </c>
      <c r="N204" s="152"/>
      <c r="O204" s="121" t="s">
        <v>2</v>
      </c>
      <c r="P204" s="152" t="s">
        <v>3</v>
      </c>
      <c r="Q204" s="121" t="s">
        <v>3</v>
      </c>
      <c r="R204" s="152" t="s">
        <v>2</v>
      </c>
    </row>
    <row r="205" spans="1:18" ht="20.100000000000001" customHeight="1" x14ac:dyDescent="0.2">
      <c r="A205" s="130" t="s">
        <v>7</v>
      </c>
      <c r="B205" s="132" t="s">
        <v>1352</v>
      </c>
      <c r="C205" s="135" t="s">
        <v>1353</v>
      </c>
      <c r="D205" s="131">
        <v>290.39999999999998</v>
      </c>
      <c r="E205" s="121" t="s">
        <v>2</v>
      </c>
      <c r="F205" s="152" t="s">
        <v>2</v>
      </c>
      <c r="G205" s="121" t="s">
        <v>2</v>
      </c>
      <c r="H205" s="152" t="s">
        <v>2</v>
      </c>
      <c r="I205" s="121" t="s">
        <v>2</v>
      </c>
      <c r="J205" s="152" t="s">
        <v>2</v>
      </c>
      <c r="K205" s="121" t="s">
        <v>2</v>
      </c>
      <c r="L205" s="152" t="s">
        <v>2</v>
      </c>
      <c r="M205" s="121" t="s">
        <v>2</v>
      </c>
      <c r="N205" s="152"/>
      <c r="O205" s="121" t="s">
        <v>2</v>
      </c>
      <c r="P205" s="152" t="s">
        <v>1762</v>
      </c>
      <c r="Q205" s="121" t="s">
        <v>1762</v>
      </c>
      <c r="R205" s="152" t="s">
        <v>2</v>
      </c>
    </row>
    <row r="206" spans="1:18" ht="20.100000000000001" customHeight="1" x14ac:dyDescent="0.2">
      <c r="A206" s="130" t="s">
        <v>7</v>
      </c>
      <c r="B206" s="132" t="s">
        <v>1354</v>
      </c>
      <c r="C206" s="135" t="s">
        <v>1355</v>
      </c>
      <c r="D206" s="131">
        <v>211.2</v>
      </c>
      <c r="E206" s="121" t="s">
        <v>3</v>
      </c>
      <c r="F206" s="152" t="s">
        <v>3</v>
      </c>
      <c r="G206" s="121" t="s">
        <v>2</v>
      </c>
      <c r="H206" s="152" t="s">
        <v>3</v>
      </c>
      <c r="I206" s="121" t="s">
        <v>3</v>
      </c>
      <c r="J206" s="152" t="s">
        <v>3</v>
      </c>
      <c r="K206" s="121" t="s">
        <v>3</v>
      </c>
      <c r="L206" s="152" t="s">
        <v>3</v>
      </c>
      <c r="M206" s="121" t="s">
        <v>3</v>
      </c>
      <c r="N206" s="152"/>
      <c r="O206" s="121" t="s">
        <v>3</v>
      </c>
      <c r="P206" s="152" t="s">
        <v>3</v>
      </c>
      <c r="Q206" s="121" t="s">
        <v>3</v>
      </c>
      <c r="R206" s="152" t="s">
        <v>3</v>
      </c>
    </row>
    <row r="207" spans="1:18" ht="20.100000000000001" customHeight="1" x14ac:dyDescent="0.2">
      <c r="A207" s="130" t="s">
        <v>7</v>
      </c>
      <c r="B207" s="132" t="s">
        <v>1356</v>
      </c>
      <c r="C207" s="135" t="s">
        <v>1357</v>
      </c>
      <c r="D207" s="131">
        <v>470.8</v>
      </c>
      <c r="E207" s="121" t="s">
        <v>3</v>
      </c>
      <c r="F207" s="152" t="s">
        <v>3</v>
      </c>
      <c r="G207" s="121" t="s">
        <v>2</v>
      </c>
      <c r="H207" s="152" t="s">
        <v>3</v>
      </c>
      <c r="I207" s="121" t="s">
        <v>3</v>
      </c>
      <c r="J207" s="152" t="s">
        <v>3</v>
      </c>
      <c r="K207" s="121" t="s">
        <v>3</v>
      </c>
      <c r="L207" s="152" t="s">
        <v>3</v>
      </c>
      <c r="M207" s="121" t="s">
        <v>3</v>
      </c>
      <c r="N207" s="152"/>
      <c r="O207" s="121" t="s">
        <v>3</v>
      </c>
      <c r="P207" s="152" t="s">
        <v>3</v>
      </c>
      <c r="Q207" s="121" t="s">
        <v>3</v>
      </c>
      <c r="R207" s="152" t="s">
        <v>3</v>
      </c>
    </row>
    <row r="208" spans="1:18" ht="20.100000000000001" customHeight="1" x14ac:dyDescent="0.2">
      <c r="A208" s="130" t="s">
        <v>7</v>
      </c>
      <c r="B208" s="132" t="s">
        <v>1358</v>
      </c>
      <c r="C208" s="135" t="s">
        <v>1359</v>
      </c>
      <c r="D208" s="131">
        <v>1057.79</v>
      </c>
      <c r="E208" s="121" t="s">
        <v>2</v>
      </c>
      <c r="F208" s="152" t="s">
        <v>3</v>
      </c>
      <c r="G208" s="121" t="s">
        <v>3</v>
      </c>
      <c r="H208" s="152" t="s">
        <v>3</v>
      </c>
      <c r="I208" s="121" t="s">
        <v>2</v>
      </c>
      <c r="J208" s="152" t="s">
        <v>3</v>
      </c>
      <c r="K208" s="121" t="s">
        <v>3</v>
      </c>
      <c r="L208" s="152" t="s">
        <v>3</v>
      </c>
      <c r="M208" s="121" t="s">
        <v>3</v>
      </c>
      <c r="N208" s="152"/>
      <c r="O208" s="121" t="s">
        <v>3</v>
      </c>
      <c r="P208" s="152" t="s">
        <v>3</v>
      </c>
      <c r="Q208" s="121" t="s">
        <v>3</v>
      </c>
      <c r="R208" s="152" t="s">
        <v>3</v>
      </c>
    </row>
    <row r="209" spans="1:19" ht="20.100000000000001" customHeight="1" x14ac:dyDescent="0.2">
      <c r="A209" s="130" t="s">
        <v>7</v>
      </c>
      <c r="B209" s="132" t="s">
        <v>1360</v>
      </c>
      <c r="C209" s="135" t="s">
        <v>1361</v>
      </c>
      <c r="D209" s="131">
        <v>594</v>
      </c>
      <c r="E209" s="121" t="s">
        <v>3</v>
      </c>
      <c r="F209" s="152" t="s">
        <v>2</v>
      </c>
      <c r="G209" s="121" t="s">
        <v>3</v>
      </c>
      <c r="H209" s="152" t="s">
        <v>2</v>
      </c>
      <c r="I209" s="121" t="s">
        <v>3</v>
      </c>
      <c r="J209" s="152" t="s">
        <v>2</v>
      </c>
      <c r="K209" s="121" t="s">
        <v>2</v>
      </c>
      <c r="L209" s="152" t="s">
        <v>2</v>
      </c>
      <c r="M209" s="121" t="s">
        <v>2</v>
      </c>
      <c r="N209" s="152"/>
      <c r="O209" s="121" t="s">
        <v>2</v>
      </c>
      <c r="P209" s="152" t="s">
        <v>2</v>
      </c>
      <c r="Q209" s="121" t="s">
        <v>2</v>
      </c>
      <c r="R209" s="152" t="s">
        <v>2</v>
      </c>
    </row>
    <row r="210" spans="1:19" ht="20.100000000000001" customHeight="1" x14ac:dyDescent="0.2">
      <c r="A210" s="130" t="s">
        <v>7</v>
      </c>
      <c r="B210" s="132" t="s">
        <v>1362</v>
      </c>
      <c r="C210" s="135" t="s">
        <v>1363</v>
      </c>
      <c r="D210" s="131">
        <v>1232</v>
      </c>
      <c r="E210" s="121" t="s">
        <v>3</v>
      </c>
      <c r="F210" s="152" t="s">
        <v>2</v>
      </c>
      <c r="G210" s="121" t="s">
        <v>3</v>
      </c>
      <c r="H210" s="152" t="s">
        <v>2</v>
      </c>
      <c r="I210" s="121" t="s">
        <v>3</v>
      </c>
      <c r="J210" s="152" t="s">
        <v>2</v>
      </c>
      <c r="K210" s="121" t="s">
        <v>2</v>
      </c>
      <c r="L210" s="152" t="s">
        <v>2</v>
      </c>
      <c r="M210" s="121" t="s">
        <v>2</v>
      </c>
      <c r="N210" s="152"/>
      <c r="O210" s="121" t="s">
        <v>2</v>
      </c>
      <c r="P210" s="152" t="s">
        <v>2</v>
      </c>
      <c r="Q210" s="121" t="s">
        <v>2</v>
      </c>
      <c r="R210" s="152" t="s">
        <v>2</v>
      </c>
    </row>
    <row r="211" spans="1:19" ht="20.100000000000001" customHeight="1" x14ac:dyDescent="0.2">
      <c r="A211" s="130" t="s">
        <v>7</v>
      </c>
      <c r="B211" s="132" t="s">
        <v>1364</v>
      </c>
      <c r="C211" s="135" t="s">
        <v>1365</v>
      </c>
      <c r="D211" s="131">
        <v>1886.5</v>
      </c>
      <c r="E211" s="121" t="s">
        <v>3</v>
      </c>
      <c r="F211" s="152" t="s">
        <v>2</v>
      </c>
      <c r="G211" s="121" t="s">
        <v>3</v>
      </c>
      <c r="H211" s="152" t="s">
        <v>2</v>
      </c>
      <c r="I211" s="121" t="s">
        <v>3</v>
      </c>
      <c r="J211" s="152" t="s">
        <v>2</v>
      </c>
      <c r="K211" s="121" t="s">
        <v>2</v>
      </c>
      <c r="L211" s="152" t="s">
        <v>2</v>
      </c>
      <c r="M211" s="121" t="s">
        <v>2</v>
      </c>
      <c r="N211" s="152"/>
      <c r="O211" s="121" t="s">
        <v>2</v>
      </c>
      <c r="P211" s="152" t="s">
        <v>2</v>
      </c>
      <c r="Q211" s="121" t="s">
        <v>2</v>
      </c>
      <c r="R211" s="152" t="s">
        <v>2</v>
      </c>
    </row>
    <row r="212" spans="1:19" ht="20.100000000000001" customHeight="1" x14ac:dyDescent="0.2">
      <c r="A212" s="130" t="s">
        <v>7</v>
      </c>
      <c r="B212" s="132" t="s">
        <v>1366</v>
      </c>
      <c r="C212" s="135" t="s">
        <v>1367</v>
      </c>
      <c r="D212" s="131">
        <v>2552</v>
      </c>
      <c r="E212" s="121" t="s">
        <v>3</v>
      </c>
      <c r="F212" s="152" t="s">
        <v>2</v>
      </c>
      <c r="G212" s="121" t="s">
        <v>3</v>
      </c>
      <c r="H212" s="152" t="s">
        <v>2</v>
      </c>
      <c r="I212" s="121" t="s">
        <v>3</v>
      </c>
      <c r="J212" s="152" t="s">
        <v>2</v>
      </c>
      <c r="K212" s="121" t="s">
        <v>2</v>
      </c>
      <c r="L212" s="152" t="s">
        <v>2</v>
      </c>
      <c r="M212" s="121" t="s">
        <v>2</v>
      </c>
      <c r="N212" s="152"/>
      <c r="O212" s="121" t="s">
        <v>2</v>
      </c>
      <c r="P212" s="152" t="s">
        <v>2</v>
      </c>
      <c r="Q212" s="121" t="s">
        <v>2</v>
      </c>
      <c r="R212" s="152" t="s">
        <v>2</v>
      </c>
    </row>
    <row r="213" spans="1:19" ht="32.25" customHeight="1" x14ac:dyDescent="0.2">
      <c r="A213" s="123" t="s">
        <v>8</v>
      </c>
      <c r="B213" s="123" t="s">
        <v>0</v>
      </c>
      <c r="C213" s="124" t="s">
        <v>906</v>
      </c>
      <c r="D213" s="123" t="s">
        <v>0</v>
      </c>
      <c r="E213" s="122" t="str">
        <f ca="1">INDIRECT("Data!$H"&amp;COLUMN()+39)</f>
        <v>IM C2010</v>
      </c>
      <c r="F213" s="122" t="str">
        <f t="shared" ref="F213:R213" ca="1" si="3">INDIRECT("Data!$H"&amp;COLUMN()+39)</f>
        <v>IM C2510</v>
      </c>
      <c r="G213" s="122" t="str">
        <f t="shared" ca="1" si="3"/>
        <v>IM C3010</v>
      </c>
      <c r="H213" s="122" t="str">
        <f t="shared" ca="1" si="3"/>
        <v>IM C3510</v>
      </c>
      <c r="I213" s="122" t="str">
        <f t="shared" ca="1" si="3"/>
        <v>IM C300F</v>
      </c>
      <c r="J213" s="122" t="str">
        <f t="shared" ca="1" si="3"/>
        <v>Not Offered</v>
      </c>
      <c r="K213" s="122" t="str">
        <f t="shared" ca="1" si="3"/>
        <v>IM C4510</v>
      </c>
      <c r="L213" s="122" t="str">
        <f t="shared" ca="1" si="3"/>
        <v>IM C400F</v>
      </c>
      <c r="M213" s="122" t="str">
        <f t="shared" ca="1" si="3"/>
        <v>Not Offered</v>
      </c>
      <c r="N213" s="122" t="str">
        <f t="shared" ca="1" si="3"/>
        <v>Not Offered</v>
      </c>
      <c r="O213" s="122" t="str">
        <f t="shared" ca="1" si="3"/>
        <v>IM C6010</v>
      </c>
      <c r="P213" s="122" t="str">
        <f t="shared" ca="1" si="3"/>
        <v>IM C6500</v>
      </c>
      <c r="Q213" s="122" t="str">
        <f t="shared" ca="1" si="3"/>
        <v>IM C8000</v>
      </c>
      <c r="R213" s="122" t="str">
        <f t="shared" ca="1" si="3"/>
        <v>Not Offered</v>
      </c>
      <c r="S213" s="153"/>
    </row>
    <row r="214" spans="1:19" ht="24.95" customHeight="1" x14ac:dyDescent="0.2">
      <c r="A214" s="130" t="s">
        <v>8</v>
      </c>
      <c r="B214" s="130" t="s">
        <v>2203</v>
      </c>
      <c r="C214" s="248" t="s">
        <v>1638</v>
      </c>
      <c r="D214" s="131">
        <f>221.4*1.1</f>
        <v>243.54000000000002</v>
      </c>
      <c r="E214" s="121" t="s">
        <v>2</v>
      </c>
      <c r="F214" s="152" t="s">
        <v>2</v>
      </c>
      <c r="G214" s="121" t="s">
        <v>2</v>
      </c>
      <c r="H214" s="152" t="s">
        <v>2</v>
      </c>
      <c r="I214" s="121" t="s">
        <v>3</v>
      </c>
      <c r="J214" s="121"/>
      <c r="K214" s="121" t="s">
        <v>2</v>
      </c>
      <c r="L214" s="152" t="s">
        <v>3</v>
      </c>
      <c r="M214" s="121"/>
      <c r="N214" s="152"/>
      <c r="O214" s="121" t="s">
        <v>2</v>
      </c>
      <c r="P214" s="152" t="s">
        <v>3</v>
      </c>
      <c r="Q214" s="121" t="s">
        <v>3</v>
      </c>
      <c r="R214" s="121"/>
    </row>
    <row r="215" spans="1:19" ht="24.95" customHeight="1" x14ac:dyDescent="0.2">
      <c r="A215" s="130" t="s">
        <v>8</v>
      </c>
      <c r="B215" s="130" t="s">
        <v>2202</v>
      </c>
      <c r="C215" s="135" t="s">
        <v>2201</v>
      </c>
      <c r="D215" s="131">
        <f>441.72*1.1</f>
        <v>485.89200000000005</v>
      </c>
      <c r="E215" s="121" t="s">
        <v>2</v>
      </c>
      <c r="F215" s="152" t="s">
        <v>2</v>
      </c>
      <c r="G215" s="121" t="s">
        <v>2</v>
      </c>
      <c r="H215" s="152" t="s">
        <v>2</v>
      </c>
      <c r="I215" s="121" t="s">
        <v>3</v>
      </c>
      <c r="J215" s="121"/>
      <c r="K215" s="121" t="s">
        <v>2</v>
      </c>
      <c r="L215" s="152" t="s">
        <v>3</v>
      </c>
      <c r="M215" s="121"/>
      <c r="N215" s="152"/>
      <c r="O215" s="121" t="s">
        <v>2</v>
      </c>
      <c r="P215" s="152" t="s">
        <v>3</v>
      </c>
      <c r="Q215" s="121" t="s">
        <v>3</v>
      </c>
      <c r="R215" s="121"/>
    </row>
    <row r="216" spans="1:19" ht="24.95" customHeight="1" x14ac:dyDescent="0.2">
      <c r="A216" s="130" t="s">
        <v>8</v>
      </c>
      <c r="B216" s="132" t="s">
        <v>2200</v>
      </c>
      <c r="C216" s="135" t="s">
        <v>2199</v>
      </c>
      <c r="D216" s="131">
        <f>235.44*1.1</f>
        <v>258.98400000000004</v>
      </c>
      <c r="E216" s="121" t="s">
        <v>3</v>
      </c>
      <c r="F216" s="152" t="s">
        <v>3</v>
      </c>
      <c r="G216" s="121" t="s">
        <v>3</v>
      </c>
      <c r="H216" s="152" t="s">
        <v>3</v>
      </c>
      <c r="I216" s="121" t="s">
        <v>2</v>
      </c>
      <c r="J216" s="121"/>
      <c r="K216" s="121" t="s">
        <v>3</v>
      </c>
      <c r="L216" s="121" t="s">
        <v>2</v>
      </c>
      <c r="M216" s="121"/>
      <c r="N216" s="152"/>
      <c r="O216" s="121" t="s">
        <v>3</v>
      </c>
      <c r="P216" s="152" t="s">
        <v>3</v>
      </c>
      <c r="Q216" s="121" t="s">
        <v>3</v>
      </c>
      <c r="R216" s="121"/>
    </row>
    <row r="217" spans="1:19" ht="24.95" customHeight="1" x14ac:dyDescent="0.2">
      <c r="A217" s="130" t="s">
        <v>8</v>
      </c>
      <c r="B217" s="132" t="s">
        <v>2198</v>
      </c>
      <c r="C217" s="135" t="s">
        <v>2197</v>
      </c>
      <c r="D217" s="131">
        <f>386.64*1.1</f>
        <v>425.30400000000003</v>
      </c>
      <c r="E217" s="121" t="s">
        <v>3</v>
      </c>
      <c r="F217" s="152" t="s">
        <v>3</v>
      </c>
      <c r="G217" s="121" t="s">
        <v>2</v>
      </c>
      <c r="H217" s="152" t="s">
        <v>2</v>
      </c>
      <c r="I217" s="121" t="s">
        <v>3</v>
      </c>
      <c r="J217" s="121"/>
      <c r="K217" s="121" t="s">
        <v>2</v>
      </c>
      <c r="L217" s="152" t="s">
        <v>3</v>
      </c>
      <c r="M217" s="121"/>
      <c r="N217" s="152"/>
      <c r="O217" s="121" t="s">
        <v>2</v>
      </c>
      <c r="P217" s="152" t="s">
        <v>3</v>
      </c>
      <c r="Q217" s="121" t="s">
        <v>3</v>
      </c>
      <c r="R217" s="121"/>
    </row>
    <row r="218" spans="1:19" ht="24.95" customHeight="1" x14ac:dyDescent="0.2">
      <c r="A218" s="130" t="s">
        <v>8</v>
      </c>
      <c r="B218" s="132" t="s">
        <v>2196</v>
      </c>
      <c r="C218" s="135" t="s">
        <v>2195</v>
      </c>
      <c r="D218" s="131">
        <f>629.64*1.1</f>
        <v>692.60400000000004</v>
      </c>
      <c r="E218" s="121" t="s">
        <v>3</v>
      </c>
      <c r="F218" s="152" t="s">
        <v>3</v>
      </c>
      <c r="G218" s="121" t="s">
        <v>2</v>
      </c>
      <c r="H218" s="152" t="s">
        <v>2</v>
      </c>
      <c r="I218" s="121" t="s">
        <v>3</v>
      </c>
      <c r="J218" s="121"/>
      <c r="K218" s="121" t="s">
        <v>2</v>
      </c>
      <c r="L218" s="152" t="s">
        <v>3</v>
      </c>
      <c r="M218" s="121"/>
      <c r="N218" s="152"/>
      <c r="O218" s="121" t="s">
        <v>2</v>
      </c>
      <c r="P218" s="152" t="s">
        <v>3</v>
      </c>
      <c r="Q218" s="121" t="s">
        <v>3</v>
      </c>
      <c r="R218" s="121"/>
    </row>
    <row r="219" spans="1:19" ht="24.95" customHeight="1" x14ac:dyDescent="0.2">
      <c r="A219" s="130" t="s">
        <v>8</v>
      </c>
      <c r="B219" s="132" t="s">
        <v>2194</v>
      </c>
      <c r="C219" s="135" t="s">
        <v>2193</v>
      </c>
      <c r="D219" s="131">
        <f>706.32*1.1</f>
        <v>776.95200000000011</v>
      </c>
      <c r="E219" s="121" t="s">
        <v>3</v>
      </c>
      <c r="F219" s="152" t="s">
        <v>3</v>
      </c>
      <c r="G219" s="121" t="s">
        <v>3</v>
      </c>
      <c r="H219" s="152" t="s">
        <v>3</v>
      </c>
      <c r="I219" s="121" t="s">
        <v>3</v>
      </c>
      <c r="J219" s="121"/>
      <c r="K219" s="121" t="s">
        <v>3</v>
      </c>
      <c r="L219" s="152" t="s">
        <v>3</v>
      </c>
      <c r="M219" s="121"/>
      <c r="N219" s="152"/>
      <c r="O219" s="121" t="s">
        <v>3</v>
      </c>
      <c r="P219" s="152" t="s">
        <v>2</v>
      </c>
      <c r="Q219" s="121" t="s">
        <v>2</v>
      </c>
      <c r="R219" s="121"/>
    </row>
    <row r="220" spans="1:19" ht="24.95" customHeight="1" x14ac:dyDescent="0.2">
      <c r="A220" s="130" t="s">
        <v>8</v>
      </c>
      <c r="B220" s="132" t="s">
        <v>2192</v>
      </c>
      <c r="C220" s="135" t="s">
        <v>2191</v>
      </c>
      <c r="D220" s="131">
        <f>201.96*1.1</f>
        <v>222.15600000000003</v>
      </c>
      <c r="E220" s="121" t="s">
        <v>2</v>
      </c>
      <c r="F220" s="152" t="s">
        <v>2</v>
      </c>
      <c r="G220" s="121" t="s">
        <v>2</v>
      </c>
      <c r="H220" s="152" t="s">
        <v>2</v>
      </c>
      <c r="I220" s="121" t="s">
        <v>3</v>
      </c>
      <c r="J220" s="121"/>
      <c r="K220" s="121" t="s">
        <v>2</v>
      </c>
      <c r="L220" s="152" t="s">
        <v>3</v>
      </c>
      <c r="M220" s="121"/>
      <c r="N220" s="152"/>
      <c r="O220" s="121" t="s">
        <v>2</v>
      </c>
      <c r="P220" s="152" t="s">
        <v>3</v>
      </c>
      <c r="Q220" s="121" t="s">
        <v>3</v>
      </c>
      <c r="R220" s="121"/>
    </row>
    <row r="221" spans="1:19" ht="24.95" customHeight="1" x14ac:dyDescent="0.2">
      <c r="A221" s="130" t="s">
        <v>8</v>
      </c>
      <c r="B221" s="132" t="s">
        <v>2190</v>
      </c>
      <c r="C221" s="135" t="s">
        <v>2189</v>
      </c>
      <c r="D221" s="131">
        <f>314.28*1.1</f>
        <v>345.70799999999997</v>
      </c>
      <c r="E221" s="121" t="s">
        <v>3</v>
      </c>
      <c r="F221" s="152" t="s">
        <v>3</v>
      </c>
      <c r="G221" s="121" t="s">
        <v>3</v>
      </c>
      <c r="H221" s="152" t="s">
        <v>3</v>
      </c>
      <c r="I221" s="121" t="s">
        <v>2</v>
      </c>
      <c r="J221" s="121"/>
      <c r="K221" s="121" t="s">
        <v>3</v>
      </c>
      <c r="L221" s="152" t="s">
        <v>2</v>
      </c>
      <c r="M221" s="121"/>
      <c r="N221" s="152"/>
      <c r="O221" s="121" t="s">
        <v>3</v>
      </c>
      <c r="P221" s="152" t="s">
        <v>3</v>
      </c>
      <c r="Q221" s="121" t="s">
        <v>3</v>
      </c>
      <c r="R221" s="121"/>
    </row>
    <row r="222" spans="1:19" ht="24.95" customHeight="1" x14ac:dyDescent="0.2">
      <c r="A222" s="130" t="s">
        <v>8</v>
      </c>
      <c r="B222" s="132" t="s">
        <v>2188</v>
      </c>
      <c r="C222" s="135" t="s">
        <v>2187</v>
      </c>
      <c r="D222" s="131">
        <f>480.6*1.1</f>
        <v>528.66000000000008</v>
      </c>
      <c r="E222" s="121" t="s">
        <v>3</v>
      </c>
      <c r="F222" s="152" t="s">
        <v>3</v>
      </c>
      <c r="G222" s="121" t="s">
        <v>3</v>
      </c>
      <c r="H222" s="152" t="s">
        <v>3</v>
      </c>
      <c r="I222" s="121" t="s">
        <v>3</v>
      </c>
      <c r="J222" s="121"/>
      <c r="K222" s="121" t="s">
        <v>3</v>
      </c>
      <c r="L222" s="152" t="s">
        <v>3</v>
      </c>
      <c r="M222" s="121"/>
      <c r="N222" s="152"/>
      <c r="O222" s="121" t="s">
        <v>2186</v>
      </c>
      <c r="P222" s="152" t="s">
        <v>2</v>
      </c>
      <c r="Q222" s="121" t="s">
        <v>2</v>
      </c>
      <c r="R222" s="121"/>
    </row>
    <row r="223" spans="1:19" ht="24.95" customHeight="1" x14ac:dyDescent="0.2">
      <c r="A223" s="130" t="s">
        <v>8</v>
      </c>
      <c r="B223" s="132" t="s">
        <v>717</v>
      </c>
      <c r="C223" s="135" t="s">
        <v>1640</v>
      </c>
      <c r="D223" s="131">
        <v>0</v>
      </c>
      <c r="E223" s="121" t="s">
        <v>2</v>
      </c>
      <c r="F223" s="152" t="s">
        <v>2</v>
      </c>
      <c r="G223" s="121" t="s">
        <v>2</v>
      </c>
      <c r="H223" s="152" t="s">
        <v>2</v>
      </c>
      <c r="I223" s="121" t="s">
        <v>2</v>
      </c>
      <c r="J223" s="121"/>
      <c r="K223" s="121" t="s">
        <v>2</v>
      </c>
      <c r="L223" s="152" t="s">
        <v>2</v>
      </c>
      <c r="M223" s="121"/>
      <c r="N223" s="152"/>
      <c r="O223" s="121" t="s">
        <v>2</v>
      </c>
      <c r="P223" s="152" t="s">
        <v>2</v>
      </c>
      <c r="Q223" s="121" t="s">
        <v>2</v>
      </c>
      <c r="R223" s="121"/>
    </row>
    <row r="224" spans="1:19" ht="24.95" customHeight="1" x14ac:dyDescent="0.2">
      <c r="A224" s="130" t="s">
        <v>8</v>
      </c>
      <c r="B224" s="132" t="s">
        <v>717</v>
      </c>
      <c r="C224" s="135" t="s">
        <v>1641</v>
      </c>
      <c r="D224" s="131">
        <v>0</v>
      </c>
      <c r="E224" s="121" t="s">
        <v>2</v>
      </c>
      <c r="F224" s="152" t="s">
        <v>2</v>
      </c>
      <c r="G224" s="121" t="s">
        <v>2</v>
      </c>
      <c r="H224" s="152" t="s">
        <v>2</v>
      </c>
      <c r="I224" s="121" t="s">
        <v>2</v>
      </c>
      <c r="J224" s="121"/>
      <c r="K224" s="121" t="s">
        <v>2</v>
      </c>
      <c r="L224" s="152" t="s">
        <v>2</v>
      </c>
      <c r="M224" s="121"/>
      <c r="N224" s="152"/>
      <c r="O224" s="121" t="s">
        <v>2</v>
      </c>
      <c r="P224" s="152" t="s">
        <v>3</v>
      </c>
      <c r="Q224" s="121" t="s">
        <v>3</v>
      </c>
      <c r="R224" s="121"/>
    </row>
    <row r="225" spans="1:18" ht="24.95" customHeight="1" x14ac:dyDescent="0.2">
      <c r="A225" s="130" t="s">
        <v>8</v>
      </c>
      <c r="B225" s="132" t="s">
        <v>2185</v>
      </c>
      <c r="C225" s="135" t="s">
        <v>2184</v>
      </c>
      <c r="D225" s="131">
        <f>(1271.16+102.6)*1.1</f>
        <v>1511.1360000000002</v>
      </c>
      <c r="E225" s="121" t="s">
        <v>2</v>
      </c>
      <c r="F225" s="152" t="s">
        <v>2</v>
      </c>
      <c r="G225" s="121" t="s">
        <v>2</v>
      </c>
      <c r="H225" s="152" t="s">
        <v>2</v>
      </c>
      <c r="I225" s="121" t="s">
        <v>3</v>
      </c>
      <c r="J225" s="121"/>
      <c r="K225" s="121" t="s">
        <v>2</v>
      </c>
      <c r="L225" s="152" t="s">
        <v>3</v>
      </c>
      <c r="M225" s="121"/>
      <c r="N225" s="152"/>
      <c r="O225" s="121" t="s">
        <v>2</v>
      </c>
      <c r="P225" s="152" t="s">
        <v>3</v>
      </c>
      <c r="Q225" s="121" t="s">
        <v>3</v>
      </c>
      <c r="R225" s="121"/>
    </row>
    <row r="226" spans="1:18" ht="24.95" customHeight="1" x14ac:dyDescent="0.2">
      <c r="A226" s="130" t="s">
        <v>8</v>
      </c>
      <c r="B226" s="132" t="s">
        <v>2183</v>
      </c>
      <c r="C226" s="247" t="s">
        <v>2182</v>
      </c>
      <c r="D226" s="131">
        <f>(446.04)*1.1</f>
        <v>490.64400000000006</v>
      </c>
      <c r="E226" s="121" t="s">
        <v>2</v>
      </c>
      <c r="F226" s="152" t="s">
        <v>2</v>
      </c>
      <c r="G226" s="121" t="s">
        <v>2</v>
      </c>
      <c r="H226" s="152" t="s">
        <v>2</v>
      </c>
      <c r="I226" s="121" t="s">
        <v>3</v>
      </c>
      <c r="J226" s="121"/>
      <c r="K226" s="121" t="s">
        <v>2</v>
      </c>
      <c r="L226" s="152" t="s">
        <v>3</v>
      </c>
      <c r="M226" s="121"/>
      <c r="N226" s="152"/>
      <c r="O226" s="121" t="s">
        <v>3</v>
      </c>
      <c r="P226" s="152" t="s">
        <v>3</v>
      </c>
      <c r="Q226" s="121" t="s">
        <v>3</v>
      </c>
      <c r="R226" s="121"/>
    </row>
    <row r="227" spans="1:18" ht="24.95" customHeight="1" x14ac:dyDescent="0.2">
      <c r="A227" s="130" t="s">
        <v>8</v>
      </c>
      <c r="B227" s="132" t="s">
        <v>2181</v>
      </c>
      <c r="C227" s="135" t="s">
        <v>2180</v>
      </c>
      <c r="D227" s="131">
        <f>348.84*1.1</f>
        <v>383.72399999999999</v>
      </c>
      <c r="E227" s="121" t="s">
        <v>2</v>
      </c>
      <c r="F227" s="152" t="s">
        <v>2</v>
      </c>
      <c r="G227" s="121" t="s">
        <v>2</v>
      </c>
      <c r="H227" s="152" t="s">
        <v>2</v>
      </c>
      <c r="I227" s="121" t="s">
        <v>3</v>
      </c>
      <c r="J227" s="121"/>
      <c r="K227" s="121" t="s">
        <v>3</v>
      </c>
      <c r="L227" s="152" t="s">
        <v>3</v>
      </c>
      <c r="M227" s="121"/>
      <c r="N227" s="152"/>
      <c r="O227" s="121" t="s">
        <v>3</v>
      </c>
      <c r="P227" s="152" t="s">
        <v>3</v>
      </c>
      <c r="Q227" s="121" t="s">
        <v>3</v>
      </c>
      <c r="R227" s="121"/>
    </row>
    <row r="228" spans="1:18" ht="24.95" customHeight="1" x14ac:dyDescent="0.2">
      <c r="A228" s="130" t="s">
        <v>8</v>
      </c>
      <c r="B228" s="132" t="s">
        <v>2179</v>
      </c>
      <c r="C228" s="135" t="s">
        <v>2178</v>
      </c>
      <c r="D228" s="131">
        <f>(549.72+102.6)*1.1</f>
        <v>717.55200000000013</v>
      </c>
      <c r="E228" s="121" t="s">
        <v>3</v>
      </c>
      <c r="F228" s="152" t="s">
        <v>3</v>
      </c>
      <c r="G228" s="121" t="s">
        <v>2</v>
      </c>
      <c r="H228" s="152" t="s">
        <v>2</v>
      </c>
      <c r="I228" s="121" t="s">
        <v>3</v>
      </c>
      <c r="J228" s="121"/>
      <c r="K228" s="121" t="s">
        <v>2</v>
      </c>
      <c r="L228" s="152" t="s">
        <v>3</v>
      </c>
      <c r="M228" s="121"/>
      <c r="N228" s="152"/>
      <c r="O228" s="121" t="s">
        <v>2</v>
      </c>
      <c r="P228" s="152" t="s">
        <v>3</v>
      </c>
      <c r="Q228" s="121" t="s">
        <v>3</v>
      </c>
      <c r="R228" s="121"/>
    </row>
    <row r="229" spans="1:18" ht="24.95" customHeight="1" x14ac:dyDescent="0.2">
      <c r="A229" s="130" t="s">
        <v>8</v>
      </c>
      <c r="B229" s="132" t="s">
        <v>2177</v>
      </c>
      <c r="C229" s="135" t="s">
        <v>2176</v>
      </c>
      <c r="D229" s="131">
        <f>(1462.32+102.6)*1.1</f>
        <v>1721.412</v>
      </c>
      <c r="E229" s="121" t="s">
        <v>3</v>
      </c>
      <c r="F229" s="152" t="s">
        <v>3</v>
      </c>
      <c r="G229" s="121" t="s">
        <v>3</v>
      </c>
      <c r="H229" s="152" t="s">
        <v>3</v>
      </c>
      <c r="I229" s="121" t="s">
        <v>3</v>
      </c>
      <c r="J229" s="121"/>
      <c r="K229" s="121" t="s">
        <v>2</v>
      </c>
      <c r="L229" s="152" t="s">
        <v>3</v>
      </c>
      <c r="M229" s="121"/>
      <c r="N229" s="152"/>
      <c r="O229" s="121" t="s">
        <v>2</v>
      </c>
      <c r="P229" s="152" t="s">
        <v>3</v>
      </c>
      <c r="Q229" s="121" t="s">
        <v>3</v>
      </c>
      <c r="R229" s="121"/>
    </row>
    <row r="230" spans="1:18" ht="24.95" customHeight="1" x14ac:dyDescent="0.2">
      <c r="A230" s="130" t="s">
        <v>8</v>
      </c>
      <c r="B230" s="132" t="s">
        <v>2175</v>
      </c>
      <c r="C230" s="135" t="s">
        <v>2174</v>
      </c>
      <c r="D230" s="131">
        <f>(1202.04+102.6)*1.1</f>
        <v>1435.104</v>
      </c>
      <c r="E230" s="121" t="s">
        <v>3</v>
      </c>
      <c r="F230" s="152" t="s">
        <v>3</v>
      </c>
      <c r="G230" s="121" t="s">
        <v>3</v>
      </c>
      <c r="H230" s="152" t="s">
        <v>3</v>
      </c>
      <c r="I230" s="121" t="s">
        <v>3</v>
      </c>
      <c r="J230" s="121"/>
      <c r="K230" s="121" t="s">
        <v>2</v>
      </c>
      <c r="L230" s="152" t="s">
        <v>3</v>
      </c>
      <c r="M230" s="121"/>
      <c r="N230" s="152"/>
      <c r="O230" s="121" t="s">
        <v>2</v>
      </c>
      <c r="P230" s="152" t="s">
        <v>3</v>
      </c>
      <c r="Q230" s="121" t="s">
        <v>3</v>
      </c>
      <c r="R230" s="121"/>
    </row>
    <row r="231" spans="1:18" ht="24.95" customHeight="1" x14ac:dyDescent="0.2">
      <c r="A231" s="130" t="s">
        <v>8</v>
      </c>
      <c r="B231" s="132" t="s">
        <v>2173</v>
      </c>
      <c r="C231" s="135" t="s">
        <v>2172</v>
      </c>
      <c r="D231" s="131">
        <f>1159.92*1.1</f>
        <v>1275.9120000000003</v>
      </c>
      <c r="E231" s="121" t="s">
        <v>3</v>
      </c>
      <c r="F231" s="152" t="s">
        <v>3</v>
      </c>
      <c r="G231" s="121" t="s">
        <v>3</v>
      </c>
      <c r="H231" s="152" t="s">
        <v>3</v>
      </c>
      <c r="I231" s="121" t="s">
        <v>3</v>
      </c>
      <c r="J231" s="121"/>
      <c r="K231" s="121" t="s">
        <v>3</v>
      </c>
      <c r="L231" s="121" t="s">
        <v>3</v>
      </c>
      <c r="M231" s="121"/>
      <c r="N231" s="152"/>
      <c r="O231" s="121" t="s">
        <v>3</v>
      </c>
      <c r="P231" s="152" t="s">
        <v>2</v>
      </c>
      <c r="Q231" s="121" t="s">
        <v>2</v>
      </c>
      <c r="R231" s="121"/>
    </row>
    <row r="232" spans="1:18" ht="24.95" customHeight="1" x14ac:dyDescent="0.2">
      <c r="A232" s="130" t="s">
        <v>8</v>
      </c>
      <c r="B232" s="132" t="s">
        <v>2171</v>
      </c>
      <c r="C232" s="135" t="s">
        <v>2170</v>
      </c>
      <c r="D232" s="131">
        <f>2215.08*1.1</f>
        <v>2436.5880000000002</v>
      </c>
      <c r="E232" s="121" t="s">
        <v>3</v>
      </c>
      <c r="F232" s="152" t="s">
        <v>3</v>
      </c>
      <c r="G232" s="121" t="s">
        <v>3</v>
      </c>
      <c r="H232" s="152" t="s">
        <v>3</v>
      </c>
      <c r="I232" s="121" t="s">
        <v>3</v>
      </c>
      <c r="J232" s="121"/>
      <c r="K232" s="121" t="s">
        <v>3</v>
      </c>
      <c r="L232" s="121" t="s">
        <v>3</v>
      </c>
      <c r="M232" s="121"/>
      <c r="N232" s="152"/>
      <c r="O232" s="121" t="s">
        <v>3</v>
      </c>
      <c r="P232" s="152" t="s">
        <v>2</v>
      </c>
      <c r="Q232" s="121" t="s">
        <v>2</v>
      </c>
      <c r="R232" s="121"/>
    </row>
    <row r="233" spans="1:18" ht="24.95" customHeight="1" x14ac:dyDescent="0.2">
      <c r="A233" s="130" t="s">
        <v>8</v>
      </c>
      <c r="B233" s="132" t="s">
        <v>2169</v>
      </c>
      <c r="C233" s="135" t="s">
        <v>2168</v>
      </c>
      <c r="D233" s="131">
        <f>2757.24*1.1</f>
        <v>3032.9639999999999</v>
      </c>
      <c r="E233" s="121" t="s">
        <v>3</v>
      </c>
      <c r="F233" s="152" t="s">
        <v>3</v>
      </c>
      <c r="G233" s="121" t="s">
        <v>3</v>
      </c>
      <c r="H233" s="152" t="s">
        <v>3</v>
      </c>
      <c r="I233" s="121" t="s">
        <v>3</v>
      </c>
      <c r="J233" s="121"/>
      <c r="K233" s="121" t="s">
        <v>3</v>
      </c>
      <c r="L233" s="121" t="s">
        <v>3</v>
      </c>
      <c r="M233" s="121"/>
      <c r="N233" s="152"/>
      <c r="O233" s="121" t="s">
        <v>3</v>
      </c>
      <c r="P233" s="152" t="s">
        <v>2</v>
      </c>
      <c r="Q233" s="121" t="s">
        <v>2</v>
      </c>
      <c r="R233" s="121"/>
    </row>
    <row r="234" spans="1:18" ht="24.95" customHeight="1" x14ac:dyDescent="0.2">
      <c r="A234" s="130" t="s">
        <v>8</v>
      </c>
      <c r="B234" s="132" t="s">
        <v>2167</v>
      </c>
      <c r="C234" s="135" t="s">
        <v>2166</v>
      </c>
      <c r="D234" s="131">
        <f>273.24*1.1</f>
        <v>300.56400000000002</v>
      </c>
      <c r="E234" s="243" t="s">
        <v>2</v>
      </c>
      <c r="F234" s="244" t="s">
        <v>2</v>
      </c>
      <c r="G234" s="243" t="s">
        <v>2</v>
      </c>
      <c r="H234" s="244" t="s">
        <v>2</v>
      </c>
      <c r="I234" s="243" t="s">
        <v>3</v>
      </c>
      <c r="J234" s="121"/>
      <c r="K234" s="243" t="s">
        <v>2</v>
      </c>
      <c r="L234" s="244" t="s">
        <v>3</v>
      </c>
      <c r="M234" s="246"/>
      <c r="N234" s="245"/>
      <c r="O234" s="243" t="s">
        <v>3</v>
      </c>
      <c r="P234" s="244" t="s">
        <v>3</v>
      </c>
      <c r="Q234" s="243" t="s">
        <v>3</v>
      </c>
      <c r="R234" s="243"/>
    </row>
    <row r="235" spans="1:18" ht="24.95" customHeight="1" x14ac:dyDescent="0.2">
      <c r="A235" s="130" t="s">
        <v>8</v>
      </c>
      <c r="B235" s="132" t="s">
        <v>2165</v>
      </c>
      <c r="C235" s="135" t="s">
        <v>2164</v>
      </c>
      <c r="D235" s="131">
        <f>253.8*1.1</f>
        <v>279.18</v>
      </c>
      <c r="E235" s="243" t="s">
        <v>2</v>
      </c>
      <c r="F235" s="244" t="s">
        <v>2</v>
      </c>
      <c r="G235" s="243" t="s">
        <v>2</v>
      </c>
      <c r="H235" s="244" t="s">
        <v>2</v>
      </c>
      <c r="I235" s="243" t="s">
        <v>3</v>
      </c>
      <c r="J235" s="121"/>
      <c r="K235" s="243" t="s">
        <v>2</v>
      </c>
      <c r="L235" s="244" t="s">
        <v>3</v>
      </c>
      <c r="M235" s="246"/>
      <c r="N235" s="245"/>
      <c r="O235" s="243" t="s">
        <v>2</v>
      </c>
      <c r="P235" s="244" t="s">
        <v>3</v>
      </c>
      <c r="Q235" s="243" t="s">
        <v>3</v>
      </c>
      <c r="R235" s="243"/>
    </row>
    <row r="236" spans="1:18" ht="24.95" customHeight="1" x14ac:dyDescent="0.2">
      <c r="A236" s="130" t="s">
        <v>8</v>
      </c>
      <c r="B236" s="132" t="s">
        <v>2163</v>
      </c>
      <c r="C236" s="135" t="s">
        <v>2162</v>
      </c>
      <c r="D236" s="131">
        <f>320.76*1.1</f>
        <v>352.83600000000001</v>
      </c>
      <c r="E236" s="121" t="s">
        <v>3</v>
      </c>
      <c r="F236" s="152" t="s">
        <v>3</v>
      </c>
      <c r="G236" s="121" t="s">
        <v>3</v>
      </c>
      <c r="H236" s="152" t="s">
        <v>3</v>
      </c>
      <c r="I236" s="121" t="s">
        <v>3</v>
      </c>
      <c r="J236" s="121"/>
      <c r="K236" s="121" t="s">
        <v>2</v>
      </c>
      <c r="L236" s="152" t="s">
        <v>3</v>
      </c>
      <c r="M236" s="121"/>
      <c r="N236" s="152"/>
      <c r="O236" s="121" t="s">
        <v>2</v>
      </c>
      <c r="P236" s="152" t="s">
        <v>3</v>
      </c>
      <c r="Q236" s="121" t="s">
        <v>3</v>
      </c>
      <c r="R236" s="121"/>
    </row>
    <row r="237" spans="1:18" ht="24.95" customHeight="1" x14ac:dyDescent="0.2">
      <c r="A237" s="130" t="s">
        <v>8</v>
      </c>
      <c r="B237" s="132" t="s">
        <v>2161</v>
      </c>
      <c r="C237" s="135" t="s">
        <v>2160</v>
      </c>
      <c r="D237" s="131">
        <f>320.76*1.1</f>
        <v>352.83600000000001</v>
      </c>
      <c r="E237" s="243" t="s">
        <v>3</v>
      </c>
      <c r="F237" s="244" t="s">
        <v>3</v>
      </c>
      <c r="G237" s="243" t="s">
        <v>3</v>
      </c>
      <c r="H237" s="244" t="s">
        <v>3</v>
      </c>
      <c r="I237" s="243" t="s">
        <v>3</v>
      </c>
      <c r="J237" s="121"/>
      <c r="K237" s="243" t="s">
        <v>3</v>
      </c>
      <c r="L237" s="244" t="s">
        <v>3</v>
      </c>
      <c r="M237" s="246"/>
      <c r="N237" s="245"/>
      <c r="O237" s="243" t="s">
        <v>3</v>
      </c>
      <c r="P237" s="244" t="s">
        <v>2</v>
      </c>
      <c r="Q237" s="243" t="s">
        <v>2</v>
      </c>
      <c r="R237" s="243"/>
    </row>
    <row r="238" spans="1:18" ht="24.95" customHeight="1" x14ac:dyDescent="0.2">
      <c r="A238" s="130" t="s">
        <v>8</v>
      </c>
      <c r="B238" s="132" t="s">
        <v>2159</v>
      </c>
      <c r="C238" s="135" t="s">
        <v>2158</v>
      </c>
      <c r="D238" s="131">
        <f>320.76*1.1</f>
        <v>352.83600000000001</v>
      </c>
      <c r="E238" s="243" t="s">
        <v>3</v>
      </c>
      <c r="F238" s="244" t="s">
        <v>3</v>
      </c>
      <c r="G238" s="243" t="s">
        <v>3</v>
      </c>
      <c r="H238" s="244" t="s">
        <v>3</v>
      </c>
      <c r="I238" s="243" t="s">
        <v>3</v>
      </c>
      <c r="J238" s="121"/>
      <c r="K238" s="243" t="s">
        <v>3</v>
      </c>
      <c r="L238" s="244" t="s">
        <v>3</v>
      </c>
      <c r="M238" s="246"/>
      <c r="N238" s="245"/>
      <c r="O238" s="243" t="s">
        <v>3</v>
      </c>
      <c r="P238" s="244" t="s">
        <v>2</v>
      </c>
      <c r="Q238" s="243" t="s">
        <v>2</v>
      </c>
      <c r="R238" s="243"/>
    </row>
    <row r="239" spans="1:18" ht="24.95" customHeight="1" x14ac:dyDescent="0.2">
      <c r="A239" s="130" t="s">
        <v>8</v>
      </c>
      <c r="B239" s="132"/>
      <c r="C239" s="135" t="s">
        <v>1649</v>
      </c>
      <c r="D239" s="131">
        <v>0</v>
      </c>
      <c r="E239" s="121" t="s">
        <v>2</v>
      </c>
      <c r="F239" s="152" t="s">
        <v>2</v>
      </c>
      <c r="G239" s="121" t="s">
        <v>2</v>
      </c>
      <c r="H239" s="152" t="s">
        <v>2</v>
      </c>
      <c r="I239" s="121" t="s">
        <v>2</v>
      </c>
      <c r="J239" s="121"/>
      <c r="K239" s="121" t="s">
        <v>2</v>
      </c>
      <c r="L239" s="152" t="s">
        <v>2</v>
      </c>
      <c r="M239" s="121"/>
      <c r="N239" s="152"/>
      <c r="O239" s="121" t="s">
        <v>2</v>
      </c>
      <c r="P239" s="152" t="s">
        <v>2</v>
      </c>
      <c r="Q239" s="121" t="s">
        <v>2</v>
      </c>
      <c r="R239" s="121"/>
    </row>
    <row r="240" spans="1:18" ht="24.95" customHeight="1" x14ac:dyDescent="0.2">
      <c r="A240" s="130" t="s">
        <v>8</v>
      </c>
      <c r="B240" s="132"/>
      <c r="C240" s="135" t="s">
        <v>1650</v>
      </c>
      <c r="D240" s="131">
        <v>0</v>
      </c>
      <c r="E240" s="121" t="s">
        <v>2</v>
      </c>
      <c r="F240" s="152" t="s">
        <v>2</v>
      </c>
      <c r="G240" s="121" t="s">
        <v>2</v>
      </c>
      <c r="H240" s="152" t="s">
        <v>2</v>
      </c>
      <c r="I240" s="121" t="s">
        <v>2</v>
      </c>
      <c r="J240" s="121"/>
      <c r="K240" s="121" t="s">
        <v>2</v>
      </c>
      <c r="L240" s="152" t="s">
        <v>2</v>
      </c>
      <c r="M240" s="121"/>
      <c r="N240" s="152"/>
      <c r="O240" s="121" t="s">
        <v>2</v>
      </c>
      <c r="P240" s="152" t="s">
        <v>2</v>
      </c>
      <c r="Q240" s="121" t="s">
        <v>2</v>
      </c>
      <c r="R240" s="121"/>
    </row>
    <row r="241" spans="1:18" ht="24.95" customHeight="1" x14ac:dyDescent="0.2">
      <c r="A241" s="130" t="s">
        <v>8</v>
      </c>
      <c r="B241" s="132" t="s">
        <v>2157</v>
      </c>
      <c r="C241" s="135" t="s">
        <v>2156</v>
      </c>
      <c r="D241" s="131">
        <f>400.68*1.1</f>
        <v>440.74800000000005</v>
      </c>
      <c r="E241" s="121" t="s">
        <v>2</v>
      </c>
      <c r="F241" s="152" t="s">
        <v>2</v>
      </c>
      <c r="G241" s="121" t="s">
        <v>2</v>
      </c>
      <c r="H241" s="152" t="s">
        <v>2</v>
      </c>
      <c r="I241" s="121" t="s">
        <v>1762</v>
      </c>
      <c r="J241" s="121"/>
      <c r="K241" s="121" t="s">
        <v>2</v>
      </c>
      <c r="L241" s="152" t="s">
        <v>1762</v>
      </c>
      <c r="M241" s="121"/>
      <c r="N241" s="152"/>
      <c r="O241" s="121" t="s">
        <v>2</v>
      </c>
      <c r="P241" s="152" t="s">
        <v>3</v>
      </c>
      <c r="Q241" s="121" t="s">
        <v>3</v>
      </c>
      <c r="R241" s="121"/>
    </row>
    <row r="242" spans="1:18" ht="24.95" customHeight="1" x14ac:dyDescent="0.2">
      <c r="A242" s="130" t="s">
        <v>8</v>
      </c>
      <c r="B242" s="132" t="s">
        <v>2155</v>
      </c>
      <c r="C242" s="135" t="s">
        <v>2154</v>
      </c>
      <c r="D242" s="131">
        <f>292.68*1.1</f>
        <v>321.94800000000004</v>
      </c>
      <c r="E242" s="121" t="s">
        <v>3</v>
      </c>
      <c r="F242" s="152" t="s">
        <v>3</v>
      </c>
      <c r="G242" s="121" t="s">
        <v>3</v>
      </c>
      <c r="H242" s="152" t="s">
        <v>3</v>
      </c>
      <c r="I242" s="121" t="s">
        <v>1762</v>
      </c>
      <c r="J242" s="121"/>
      <c r="K242" s="121" t="s">
        <v>3</v>
      </c>
      <c r="L242" s="152" t="s">
        <v>1762</v>
      </c>
      <c r="M242" s="121"/>
      <c r="N242" s="152"/>
      <c r="O242" s="121" t="s">
        <v>3</v>
      </c>
      <c r="P242" s="152" t="s">
        <v>2</v>
      </c>
      <c r="Q242" s="121" t="s">
        <v>2</v>
      </c>
      <c r="R242" s="121"/>
    </row>
  </sheetData>
  <sheetProtection formatCells="0" formatColumns="0" formatRows="0" sort="0" autoFilter="0" pivotTables="0"/>
  <autoFilter ref="A5:R242" xr:uid="{00000000-0009-0000-0000-000004000000}">
    <filterColumn colId="2" showButton="0"/>
  </autoFilter>
  <mergeCells count="3">
    <mergeCell ref="A1:R1"/>
    <mergeCell ref="A2:R2"/>
    <mergeCell ref="A3:R3"/>
  </mergeCells>
  <conditionalFormatting sqref="A214:R242">
    <cfRule type="expression" dxfId="131" priority="4">
      <formula>$B214="NEW"</formula>
    </cfRule>
    <cfRule type="expression" dxfId="130" priority="5">
      <formula>$B214="DELETE"</formula>
    </cfRule>
  </conditionalFormatting>
  <conditionalFormatting sqref="E214:E242">
    <cfRule type="expression" dxfId="129" priority="16">
      <formula>E$213="Not Offered"</formula>
    </cfRule>
  </conditionalFormatting>
  <conditionalFormatting sqref="E6:R6">
    <cfRule type="expression" dxfId="128" priority="14">
      <formula>E$6="Not Offered"</formula>
    </cfRule>
  </conditionalFormatting>
  <conditionalFormatting sqref="E7:R33">
    <cfRule type="expression" dxfId="127" priority="8">
      <formula>E$6="Not Offered"</formula>
    </cfRule>
  </conditionalFormatting>
  <conditionalFormatting sqref="E35:R137">
    <cfRule type="expression" dxfId="126" priority="18">
      <formula>E$34="Not Offered"</formula>
    </cfRule>
  </conditionalFormatting>
  <conditionalFormatting sqref="E138:R138">
    <cfRule type="expression" dxfId="125" priority="13">
      <formula>E138="Not Offered"</formula>
    </cfRule>
  </conditionalFormatting>
  <conditionalFormatting sqref="E139:R212">
    <cfRule type="expression" dxfId="124" priority="11">
      <formula>E$138="Not Offered"</formula>
    </cfRule>
  </conditionalFormatting>
  <conditionalFormatting sqref="E213:R213">
    <cfRule type="expression" dxfId="123" priority="12">
      <formula>E213="Not Offered"</formula>
    </cfRule>
  </conditionalFormatting>
  <conditionalFormatting sqref="J214:K242">
    <cfRule type="expression" dxfId="122" priority="1">
      <formula>J$138="Not Offered"</formula>
    </cfRule>
  </conditionalFormatting>
  <conditionalFormatting sqref="M214:N214">
    <cfRule type="expression" dxfId="121" priority="2">
      <formula>M$138="Not Offered"</formula>
    </cfRule>
  </conditionalFormatting>
  <hyperlinks>
    <hyperlink ref="A3:Q3" r:id="rId1" display="Please refer to the User Guide for further information here" xr:uid="{00000000-0004-0000-04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0" tint="-0.249977111117893"/>
  </sheetPr>
  <dimension ref="A1:O63"/>
  <sheetViews>
    <sheetView topLeftCell="A33" zoomScale="90" zoomScaleNormal="90" workbookViewId="0">
      <selection activeCell="G54" sqref="G54"/>
    </sheetView>
  </sheetViews>
  <sheetFormatPr defaultColWidth="9.140625" defaultRowHeight="12.75" x14ac:dyDescent="0.2"/>
  <cols>
    <col min="1" max="1" width="17" style="1" customWidth="1"/>
    <col min="2" max="2" width="30.7109375" style="1" customWidth="1"/>
    <col min="3" max="3" width="17.7109375" style="1" customWidth="1"/>
    <col min="4" max="4" width="15.7109375" style="1" customWidth="1"/>
    <col min="5" max="5" width="15.7109375" style="10" customWidth="1"/>
    <col min="6" max="14" width="15.7109375" style="1" customWidth="1"/>
    <col min="15" max="16" width="12.7109375" style="1" customWidth="1"/>
    <col min="17" max="17" width="10.28515625" style="1" bestFit="1" customWidth="1"/>
    <col min="18" max="16384" width="9.140625" style="1"/>
  </cols>
  <sheetData>
    <row r="1" spans="1:15" ht="20.100000000000001" customHeight="1" x14ac:dyDescent="0.2">
      <c r="A1" s="376" t="s">
        <v>1693</v>
      </c>
      <c r="B1" s="377"/>
      <c r="C1" s="377"/>
      <c r="D1" s="377"/>
      <c r="E1" s="377"/>
      <c r="F1" s="377"/>
      <c r="G1" s="377"/>
      <c r="H1" s="377"/>
      <c r="I1" s="377"/>
      <c r="J1" s="377"/>
      <c r="K1" s="377"/>
      <c r="L1" s="377"/>
      <c r="M1" s="377"/>
      <c r="N1" s="377"/>
      <c r="O1" s="377"/>
    </row>
    <row r="2" spans="1:15" ht="20.100000000000001" customHeight="1" x14ac:dyDescent="0.2">
      <c r="A2" s="428" t="s">
        <v>932</v>
      </c>
      <c r="B2" s="371"/>
      <c r="C2" s="371"/>
      <c r="D2" s="371"/>
      <c r="E2" s="371"/>
      <c r="F2" s="372"/>
      <c r="H2" s="425" t="s">
        <v>933</v>
      </c>
      <c r="I2" s="426"/>
      <c r="J2" s="426"/>
      <c r="K2" s="426"/>
      <c r="L2" s="426"/>
    </row>
    <row r="3" spans="1:15" ht="30" customHeight="1" x14ac:dyDescent="0.2">
      <c r="A3" s="72" t="s">
        <v>919</v>
      </c>
      <c r="B3" s="156" t="s">
        <v>1797</v>
      </c>
      <c r="C3" s="71" t="s">
        <v>69</v>
      </c>
      <c r="D3" s="155">
        <v>100000</v>
      </c>
      <c r="E3" s="1"/>
      <c r="H3" s="76" t="s">
        <v>935</v>
      </c>
      <c r="I3" s="78" t="s">
        <v>934</v>
      </c>
      <c r="J3" s="11" t="s">
        <v>938</v>
      </c>
      <c r="K3" s="77" t="s">
        <v>936</v>
      </c>
      <c r="L3" s="79" t="s">
        <v>937</v>
      </c>
      <c r="M3" s="424" t="s">
        <v>1685</v>
      </c>
      <c r="N3" s="349"/>
      <c r="O3" s="350"/>
    </row>
    <row r="5" spans="1:15" ht="24.95" customHeight="1" x14ac:dyDescent="0.2">
      <c r="A5" s="376" t="s">
        <v>1711</v>
      </c>
      <c r="B5" s="377"/>
      <c r="C5" s="377"/>
      <c r="D5" s="377"/>
      <c r="E5" s="377"/>
      <c r="F5" s="378"/>
    </row>
    <row r="6" spans="1:15" ht="30" customHeight="1" x14ac:dyDescent="0.2">
      <c r="A6" s="414" t="s">
        <v>4</v>
      </c>
      <c r="B6" s="414" t="s">
        <v>65</v>
      </c>
      <c r="C6" s="70" t="s">
        <v>2013</v>
      </c>
      <c r="D6" s="70" t="s">
        <v>10</v>
      </c>
      <c r="E6" s="70" t="s">
        <v>7</v>
      </c>
      <c r="F6" s="70" t="s">
        <v>8</v>
      </c>
    </row>
    <row r="7" spans="1:15" ht="30" customHeight="1" x14ac:dyDescent="0.2">
      <c r="A7" s="427"/>
      <c r="B7" s="427"/>
      <c r="C7" s="63" t="s">
        <v>34</v>
      </c>
      <c r="D7" s="63" t="s">
        <v>34</v>
      </c>
      <c r="E7" s="63" t="s">
        <v>34</v>
      </c>
      <c r="F7" s="63" t="s">
        <v>34</v>
      </c>
    </row>
    <row r="8" spans="1:15" ht="24.95" customHeight="1" x14ac:dyDescent="0.2">
      <c r="A8" s="393" t="s">
        <v>37</v>
      </c>
      <c r="B8" s="66" t="s">
        <v>29</v>
      </c>
      <c r="C8" s="13" t="str">
        <f>IF(C9="Not Offered","Not Offered",VLOOKUP(C9,Data!$H:$CV,93,FALSE))</f>
        <v>AP2560</v>
      </c>
      <c r="D8" s="11" t="str">
        <f>IF(D9="Not Offered","Not Offered",VLOOKUP(D9,Data!$H:$CV,93,FALSE))</f>
        <v>227b-WA</v>
      </c>
      <c r="E8" s="13" t="str">
        <f>IF(E9="Not Offered","Not Offered",VLOOKUP(E9,Data!$H:$CV,93,FALSE))</f>
        <v>1102P23AS0</v>
      </c>
      <c r="F8" s="11">
        <f>IF(F9="Not Offered","Not Offered",VLOOKUP(F9,Data!$H:$CV,93,FALSE))</f>
        <v>408534</v>
      </c>
    </row>
    <row r="9" spans="1:15" ht="24.95" customHeight="1" x14ac:dyDescent="0.2">
      <c r="A9" s="395"/>
      <c r="B9" s="66" t="s">
        <v>72</v>
      </c>
      <c r="C9" s="13" t="str">
        <f>Data!$H58</f>
        <v>ApeosPort 2560</v>
      </c>
      <c r="D9" s="11" t="str">
        <f>Data!$H67</f>
        <v>bizhub 227</v>
      </c>
      <c r="E9" s="13" t="str">
        <f>Data!$H76</f>
        <v>Ecosys M4125idn</v>
      </c>
      <c r="F9" s="11" t="str">
        <f>Data!$H85</f>
        <v>M 320F</v>
      </c>
    </row>
    <row r="10" spans="1:15" ht="24.95" customHeight="1" x14ac:dyDescent="0.2">
      <c r="A10" s="395"/>
      <c r="B10" s="66" t="s">
        <v>33</v>
      </c>
      <c r="C10" s="13">
        <f>IF(C8="Not Offered","",VLOOKUP(C8,Data!$G:$BB,3,FALSE))</f>
        <v>25</v>
      </c>
      <c r="D10" s="11">
        <f>IF(D8="Not Offered","",VLOOKUP(D8,Data!$G:$BB,3,FALSE))</f>
        <v>22</v>
      </c>
      <c r="E10" s="13">
        <f>IF(E8="Not Offered","",VLOOKUP(E8,Data!$G:$BB,3,FALSE))</f>
        <v>25</v>
      </c>
      <c r="F10" s="11">
        <f>IF(F8="Not Offered","",VLOOKUP(F8,Data!$G:$BB,3,FALSE))</f>
        <v>30</v>
      </c>
    </row>
    <row r="11" spans="1:15" ht="24.95" customHeight="1" x14ac:dyDescent="0.2">
      <c r="A11" s="395"/>
      <c r="B11" s="66" t="s">
        <v>30</v>
      </c>
      <c r="C11" s="60">
        <f>IF(C8="Not Offered","",VLOOKUP(C8,Data!$G:$BB,4,FALSE))</f>
        <v>1200000</v>
      </c>
      <c r="D11" s="59">
        <f>IF(D8="Not Offered","",VLOOKUP(D8,Data!$G:$BB,4,FALSE))</f>
        <v>600000</v>
      </c>
      <c r="E11" s="60">
        <f>IF(E8="Not Offered","",VLOOKUP(E8,Data!$G:$BB,4,FALSE))</f>
        <v>600000</v>
      </c>
      <c r="F11" s="59">
        <f>IF(F8="Not Offered","",VLOOKUP(F8,Data!$G:$BB,4,FALSE))</f>
        <v>360000</v>
      </c>
    </row>
    <row r="12" spans="1:15" ht="24.95" customHeight="1" x14ac:dyDescent="0.2">
      <c r="A12" s="340"/>
      <c r="B12" s="66" t="s">
        <v>31</v>
      </c>
      <c r="C12" s="60">
        <f>IF(C8="Not Offered","",VLOOKUP(C8,Data!$G:$BB,5,FALSE))</f>
        <v>107000</v>
      </c>
      <c r="D12" s="59">
        <f>IF(D8="Not Offered","",VLOOKUP(D8,Data!$G:$BB,5,FALSE))</f>
        <v>10000</v>
      </c>
      <c r="E12" s="60">
        <f>IF(E8="Not Offered","",VLOOKUP(E8,Data!$G:$BB,5,FALSE))</f>
        <v>14000</v>
      </c>
      <c r="F12" s="59">
        <f>IF(F8="Not Offered","",VLOOKUP(F8,Data!$G:$BB,5,FALSE))</f>
        <v>6000</v>
      </c>
    </row>
    <row r="13" spans="1:15" ht="24.95" customHeight="1" x14ac:dyDescent="0.2">
      <c r="A13" s="393" t="s">
        <v>63</v>
      </c>
      <c r="B13" s="66" t="s">
        <v>64</v>
      </c>
      <c r="C13" s="61">
        <f>IF(C8="Not Offered","",VLOOKUP(C8,Data!$G:$BB,6,FALSE))</f>
        <v>2437.6</v>
      </c>
      <c r="D13" s="67">
        <f>IF(D8="Not Offered","",VLOOKUP(D8,Data!$G:$BB,6,FALSE))</f>
        <v>2509.9525000000003</v>
      </c>
      <c r="E13" s="61">
        <f>IF(E8="Not Offered","",VLOOKUP(E8,Data!$G:$BB,6,FALSE))</f>
        <v>1826</v>
      </c>
      <c r="F13" s="67">
        <f>IF(F8="Not Offered","",VLOOKUP(F8,Data!$G:$BB,6,FALSE))</f>
        <v>496.58400000000006</v>
      </c>
    </row>
    <row r="14" spans="1:15" ht="24.95" customHeight="1" x14ac:dyDescent="0.2">
      <c r="A14" s="396"/>
      <c r="B14" s="66" t="str">
        <f>$B$3&amp;" BW CPC"</f>
        <v>Zone 2 - Bunbury within 20km BW CPC</v>
      </c>
      <c r="C14" s="62">
        <f>IF(C8="Not Offered","",VLOOKUP(C8,Data!$G:$AL,5+2*(MATCH($B$3,Locations,0)),FALSE))</f>
        <v>9.3500000000000007E-3</v>
      </c>
      <c r="D14" s="68">
        <f>IF(D8="Not Offered","",VLOOKUP(D8,Data!$G:$AL,5+2*(MATCH($B$3,Locations,0)),FALSE))</f>
        <v>1.9800000000000002E-2</v>
      </c>
      <c r="E14" s="62">
        <f>IF(E8="Not Offered","",VLOOKUP(E8,Data!$G:$AL,5+2*(MATCH($B$3,Locations,0)),FALSE))</f>
        <v>1.6500000000000001E-2</v>
      </c>
      <c r="F14" s="68">
        <f>IF(F8="Not Offered","",VLOOKUP(F8,Data!$G:$AL,5+2*(MATCH($B$3,Locations,0)),FALSE))</f>
        <v>4.1579999999999999E-2</v>
      </c>
    </row>
    <row r="15" spans="1:15" ht="24.95" customHeight="1" x14ac:dyDescent="0.2">
      <c r="A15" s="397"/>
      <c r="B15" s="66" t="str">
        <f>$B$3&amp;" Surcharge &amp; Installation"</f>
        <v>Zone 2 - Bunbury within 20km Surcharge &amp; Installation</v>
      </c>
      <c r="C15" s="61">
        <f>IF(C8="Not Offered","",IF($B$3="Zone 1 (Perth Metro)",0,VLOOKUP(C8,Data!$G:$BK,44+(MATCH($B$3,Locations,0)),FALSE)))</f>
        <v>385</v>
      </c>
      <c r="D15" s="67">
        <f>IF(D$8="Not Offered","",IF($B$3="Zone 1 (Perth Metro)",0,VLOOKUP(D$8,Data!$G:$BK,44+(MATCH($B$3,Locations,0)),FALSE)))</f>
        <v>1232</v>
      </c>
      <c r="E15" s="61">
        <f>IF(E$8="Not Offered","",IF($B$3="Zone 1 (Perth Metro)",0,VLOOKUP(E$8,Data!$G:$BK,44+(MATCH($B$3,Locations,0)),FALSE)))</f>
        <v>330</v>
      </c>
      <c r="F15" s="67">
        <f>IF(F$8="Not Offered","",IF($B$3="Zone 1 (Perth Metro)",0,VLOOKUP(F$8,Data!$G:$BK,44+(MATCH($B$3,Locations,0)),FALSE)))</f>
        <v>434.65840000000003</v>
      </c>
    </row>
    <row r="16" spans="1:15" ht="24.95" customHeight="1" x14ac:dyDescent="0.2">
      <c r="A16" s="65" t="s">
        <v>70</v>
      </c>
      <c r="B16" s="66" t="s">
        <v>71</v>
      </c>
      <c r="C16" s="13" t="str">
        <f>IF(C9="Not Offered","",IF(C11&gt;=$D$3*5,"Y","N"))</f>
        <v>Y</v>
      </c>
      <c r="D16" s="11" t="str">
        <f t="shared" ref="D16:F16" si="0">IF(D9="Not Offered","",IF(D11&gt;=$D$3*5,"Y","N"))</f>
        <v>Y</v>
      </c>
      <c r="E16" s="13" t="str">
        <f t="shared" si="0"/>
        <v>Y</v>
      </c>
      <c r="F16" s="11" t="str">
        <f t="shared" si="0"/>
        <v>N</v>
      </c>
    </row>
    <row r="17" spans="1:10" ht="24.95" customHeight="1" x14ac:dyDescent="0.2">
      <c r="A17" s="393" t="s">
        <v>66</v>
      </c>
      <c r="B17" s="66" t="s">
        <v>68</v>
      </c>
      <c r="C17" s="96">
        <f>IF(OR(C8="Not Offered",C14="N/A"),"",IF(C16="Y",C13,((ROUNDUP(($D$3*5)/C11,0))*C13))+C15+(C14*$D$3*5))</f>
        <v>7497.6</v>
      </c>
      <c r="D17" s="12">
        <f t="shared" ref="D17:E17" si="1">IF(OR(D8="Not Offered",D14="N/A"),"",IF(D16="Y",D13,((ROUNDUP(($D$3*5)/D11,0))*D13))+D15+(D14*$D$3*5))</f>
        <v>13641.952500000003</v>
      </c>
      <c r="E17" s="96">
        <f t="shared" si="1"/>
        <v>10406</v>
      </c>
      <c r="F17" s="12">
        <f>IF(OR(F8="Not Offered",F14="N/A"),"",IF(F16="Y",F13,((ROUNDUP(($D$3*5)/F11,0))*F13))+F15+(F14*$D$3*5))</f>
        <v>22217.826400000002</v>
      </c>
    </row>
    <row r="18" spans="1:10" ht="24.95" customHeight="1" x14ac:dyDescent="0.2">
      <c r="A18" s="340"/>
      <c r="B18" s="66" t="s">
        <v>67</v>
      </c>
      <c r="C18" s="13">
        <f>IF(C17="","",IF(ISNA(RANK(C17,$A17:$F17)),"",RANK(C17,$A17:$F17,1)))</f>
        <v>1</v>
      </c>
      <c r="D18" s="11">
        <f>IF(D17="","",IF(ISNA(RANK(D17,$A17:$F17)),"",RANK(D17,$A17:$F17,1)))</f>
        <v>3</v>
      </c>
      <c r="E18" s="13">
        <f>IF(E17="","",IF(ISNA(RANK(E17,$A17:$F17)),"",RANK(E17,$A17:$F17,1)))</f>
        <v>2</v>
      </c>
      <c r="F18" s="11">
        <f>IF(F17="","",IF(ISNA(RANK(F17,$A17:$F17)),"",RANK(F17,$A17:$F17,1)))</f>
        <v>4</v>
      </c>
    </row>
    <row r="19" spans="1:10" ht="15" customHeight="1" x14ac:dyDescent="0.2">
      <c r="E19" s="1"/>
    </row>
    <row r="20" spans="1:10" ht="24.95" customHeight="1" x14ac:dyDescent="0.2">
      <c r="A20" s="376" t="s">
        <v>1724</v>
      </c>
      <c r="B20" s="377"/>
      <c r="C20" s="377"/>
      <c r="D20" s="377"/>
      <c r="E20" s="377"/>
      <c r="F20" s="377"/>
      <c r="G20" s="377"/>
      <c r="H20" s="377"/>
      <c r="I20" s="377"/>
      <c r="J20" s="378"/>
    </row>
    <row r="21" spans="1:10" ht="24.95" customHeight="1" x14ac:dyDescent="0.2">
      <c r="A21" s="414" t="s">
        <v>4</v>
      </c>
      <c r="B21" s="414" t="s">
        <v>65</v>
      </c>
      <c r="C21" s="373" t="s">
        <v>2013</v>
      </c>
      <c r="D21" s="423"/>
      <c r="E21" s="373" t="s">
        <v>10</v>
      </c>
      <c r="F21" s="423" t="s">
        <v>8</v>
      </c>
      <c r="G21" s="373" t="s">
        <v>7</v>
      </c>
      <c r="H21" s="423" t="s">
        <v>10</v>
      </c>
      <c r="I21" s="373" t="s">
        <v>8</v>
      </c>
      <c r="J21" s="423" t="s">
        <v>8</v>
      </c>
    </row>
    <row r="22" spans="1:10" ht="24.95" customHeight="1" x14ac:dyDescent="0.2">
      <c r="A22" s="415"/>
      <c r="B22" s="415"/>
      <c r="C22" s="70" t="s">
        <v>73</v>
      </c>
      <c r="D22" s="70" t="s">
        <v>74</v>
      </c>
      <c r="E22" s="70" t="s">
        <v>73</v>
      </c>
      <c r="F22" s="70" t="s">
        <v>74</v>
      </c>
      <c r="G22" s="70" t="s">
        <v>73</v>
      </c>
      <c r="H22" s="70" t="s">
        <v>74</v>
      </c>
      <c r="I22" s="70" t="s">
        <v>73</v>
      </c>
      <c r="J22" s="70" t="s">
        <v>74</v>
      </c>
    </row>
    <row r="23" spans="1:10" ht="24.95" customHeight="1" x14ac:dyDescent="0.2">
      <c r="A23" s="393" t="s">
        <v>37</v>
      </c>
      <c r="B23" s="64" t="s">
        <v>29</v>
      </c>
      <c r="C23" s="14" t="str">
        <f>IF(C24="Not Offered","Not Offered",VLOOKUP(C24,Data!$H:$CV,93,FALSE))</f>
        <v>AP3060</v>
      </c>
      <c r="D23" s="4" t="str">
        <f>IF(D24="Not Offered","Not Offered",VLOOKUP(D24,Data!$H:$CV,93,FALSE))</f>
        <v>AP3560</v>
      </c>
      <c r="E23" s="14" t="str">
        <f>IF(E24="Not Offered","Not Offered",VLOOKUP(E24,Data!$H:$CV,93,FALSE))</f>
        <v>300ib1-WA</v>
      </c>
      <c r="F23" s="4" t="str">
        <f>IF(F24="Not Offered","Not Offered",VLOOKUP(F24,Data!$H:$CV,93,FALSE))</f>
        <v>360ib1-WA</v>
      </c>
      <c r="G23" s="14" t="str">
        <f>IF(G24="Not Offered","Not Offered",VLOOKUP(G24,Data!$H:$CV,93,FALSE))</f>
        <v>1102P13AS0</v>
      </c>
      <c r="H23" s="4" t="str">
        <f>IF(H24="Not Offered","Not Offered",VLOOKUP(H24,Data!$H:$CV,93,FALSE))</f>
        <v>1102ZT3AU0</v>
      </c>
      <c r="I23" s="14">
        <f>IF(I24="Not Offered","Not Offered",VLOOKUP(I24,Data!$H:$CV,93,FALSE))</f>
        <v>418844</v>
      </c>
      <c r="J23" s="4">
        <f>IF(J24="Not Offered","Not Offered",VLOOKUP(J24,Data!$H:$CV,93,FALSE))</f>
        <v>417436</v>
      </c>
    </row>
    <row r="24" spans="1:10" ht="24.95" customHeight="1" x14ac:dyDescent="0.2">
      <c r="A24" s="395"/>
      <c r="B24" s="66" t="s">
        <v>72</v>
      </c>
      <c r="C24" s="13" t="str">
        <f>Data!$H59</f>
        <v>ApeosPort 3060</v>
      </c>
      <c r="D24" s="11" t="str">
        <f>Data!$H60</f>
        <v>ApeosPort 3560</v>
      </c>
      <c r="E24" s="13" t="str">
        <f>Data!$H68</f>
        <v>bizhub 300i</v>
      </c>
      <c r="F24" s="11" t="str">
        <f>Data!$H69</f>
        <v>bizhub 360i</v>
      </c>
      <c r="G24" s="13" t="str">
        <f>Data!$H77</f>
        <v>Ecosys M4132idn</v>
      </c>
      <c r="H24" s="11" t="str">
        <f>Data!$H78</f>
        <v>MZ3200i</v>
      </c>
      <c r="I24" s="13" t="str">
        <f>Data!$H86</f>
        <v>IM 3000</v>
      </c>
      <c r="J24" s="11" t="str">
        <f>Data!$H87</f>
        <v>MP 305+SPF</v>
      </c>
    </row>
    <row r="25" spans="1:10" ht="24.95" customHeight="1" x14ac:dyDescent="0.2">
      <c r="A25" s="395"/>
      <c r="B25" s="66" t="s">
        <v>33</v>
      </c>
      <c r="C25" s="13">
        <f>IF(C23="Not Offered","",VLOOKUP(C23,Data!$G:$BB,3,FALSE))</f>
        <v>30</v>
      </c>
      <c r="D25" s="11">
        <f>IF(D23="Not Offered","",VLOOKUP(D23,Data!$G:$BB,3,FALSE))</f>
        <v>35</v>
      </c>
      <c r="E25" s="13">
        <f>IF(E23="Not Offered","",VLOOKUP(E23,Data!$G:$BB,3,FALSE))</f>
        <v>30</v>
      </c>
      <c r="F25" s="11">
        <f>IF(F23="Not Offered","",VLOOKUP(F23,Data!$G:$BB,3,FALSE))</f>
        <v>36</v>
      </c>
      <c r="G25" s="13">
        <f>IF(G23="Not Offered","",VLOOKUP(G23,Data!$G:$BB,3,FALSE))</f>
        <v>32</v>
      </c>
      <c r="H25" s="11">
        <f>IF(H23="Not Offered","",VLOOKUP(H23,Data!$G:$BB,3,FALSE))</f>
        <v>32</v>
      </c>
      <c r="I25" s="13">
        <f>IF(I23="Not Offered","",VLOOKUP(I23,Data!$G:$BB,3,FALSE))</f>
        <v>30</v>
      </c>
      <c r="J25" s="11">
        <f>IF(J23="Not Offered","",VLOOKUP(J23,Data!$G:$BB,3,FALSE))</f>
        <v>30</v>
      </c>
    </row>
    <row r="26" spans="1:10" ht="24.95" customHeight="1" x14ac:dyDescent="0.2">
      <c r="A26" s="395"/>
      <c r="B26" s="66" t="s">
        <v>30</v>
      </c>
      <c r="C26" s="60">
        <f>IF(C23="Not Offered","",VLOOKUP(C23,Data!$G:$BB,4,FALSE))</f>
        <v>1800000</v>
      </c>
      <c r="D26" s="59">
        <f>IF(D23="Not Offered","",VLOOKUP(D23,Data!$G:$BB,4,FALSE))</f>
        <v>2400000</v>
      </c>
      <c r="E26" s="60">
        <f>IF(E23="Not Offered","",VLOOKUP(E23,Data!$G:$BB,4,FALSE))</f>
        <v>600000</v>
      </c>
      <c r="F26" s="59">
        <f>IF(F23="Not Offered","",VLOOKUP(F23,Data!$G:$BB,4,FALSE))</f>
        <v>800000</v>
      </c>
      <c r="G26" s="60">
        <f>IF(G23="Not Offered","",VLOOKUP(G23,Data!$G:$BB,4,FALSE))</f>
        <v>600000</v>
      </c>
      <c r="H26" s="59">
        <f>IF(H23="Not Offered","",VLOOKUP(H23,Data!$G:$BB,4,FALSE))</f>
        <v>1800000</v>
      </c>
      <c r="I26" s="60">
        <f>IF(I23="Not Offered","",VLOOKUP(I23,Data!$G:$BB,4,FALSE))</f>
        <v>1200000</v>
      </c>
      <c r="J26" s="59">
        <f>IF(J23="Not Offered","",VLOOKUP(J23,Data!$G:$BB,4,FALSE))</f>
        <v>450000</v>
      </c>
    </row>
    <row r="27" spans="1:10" ht="24.95" customHeight="1" x14ac:dyDescent="0.2">
      <c r="A27" s="340"/>
      <c r="B27" s="66" t="s">
        <v>31</v>
      </c>
      <c r="C27" s="60">
        <f>IF(C23="Not Offered","",VLOOKUP(C23,Data!$G:$BB,5,FALSE))</f>
        <v>129000</v>
      </c>
      <c r="D27" s="59">
        <f>IF(D23="Not Offered","",VLOOKUP(D23,Data!$G:$BB,5,FALSE))</f>
        <v>153000</v>
      </c>
      <c r="E27" s="60">
        <f>IF(E23="Not Offered","",VLOOKUP(E23,Data!$G:$BB,5,FALSE))</f>
        <v>10000</v>
      </c>
      <c r="F27" s="59">
        <f>IF(F23="Not Offered","",VLOOKUP(F23,Data!$G:$BB,5,FALSE))</f>
        <v>13333</v>
      </c>
      <c r="G27" s="60">
        <f>IF(G23="Not Offered","",VLOOKUP(G23,Data!$G:$BB,5,FALSE))</f>
        <v>20000</v>
      </c>
      <c r="H27" s="59">
        <f>IF(H23="Not Offered","",VLOOKUP(H23,Data!$G:$BB,5,FALSE))</f>
        <v>30000</v>
      </c>
      <c r="I27" s="60">
        <f>IF(I23="Not Offered","",VLOOKUP(I23,Data!$G:$BB,5,FALSE))</f>
        <v>20000</v>
      </c>
      <c r="J27" s="59">
        <f>IF(J23="Not Offered","",VLOOKUP(J23,Data!$G:$BB,5,FALSE))</f>
        <v>20000</v>
      </c>
    </row>
    <row r="28" spans="1:10" ht="24.95" customHeight="1" x14ac:dyDescent="0.2">
      <c r="A28" s="393" t="s">
        <v>63</v>
      </c>
      <c r="B28" s="66" t="s">
        <v>64</v>
      </c>
      <c r="C28" s="61">
        <f>IF(C23="Not Offered","",VLOOKUP(C23,Data!$G:$BB,6,FALSE))</f>
        <v>2877.6</v>
      </c>
      <c r="D28" s="67">
        <f>IF(D23="Not Offered","",VLOOKUP(D23,Data!$G:$BB,6,FALSE))</f>
        <v>4006.2</v>
      </c>
      <c r="E28" s="61">
        <f>IF(E23="Not Offered","",VLOOKUP(E23,Data!$G:$BB,6,FALSE))</f>
        <v>3133.7625000000003</v>
      </c>
      <c r="F28" s="67">
        <f>IF(F23="Not Offered","",VLOOKUP(F23,Data!$G:$BB,6,FALSE))</f>
        <v>3369.1625000000004</v>
      </c>
      <c r="G28" s="61">
        <f>IF(G23="Not Offered","",VLOOKUP(G23,Data!$G:$BB,6,FALSE))</f>
        <v>2145</v>
      </c>
      <c r="H28" s="67">
        <f>IF(H23="Not Offered","",VLOOKUP(H23,Data!$G:$BB,6,FALSE))</f>
        <v>2614.6999999999998</v>
      </c>
      <c r="I28" s="61">
        <f>IF(I23="Not Offered","",VLOOKUP(I23,Data!$G:$BB,6,FALSE))</f>
        <v>2693.1959999999999</v>
      </c>
      <c r="J28" s="67">
        <f>IF(J23="Not Offered","",VLOOKUP(J23,Data!$G:$BB,6,FALSE))</f>
        <v>1181.4000000000001</v>
      </c>
    </row>
    <row r="29" spans="1:10" ht="24.95" customHeight="1" x14ac:dyDescent="0.2">
      <c r="A29" s="396"/>
      <c r="B29" s="66" t="str">
        <f>$B$3&amp;" BW CPC"</f>
        <v>Zone 2 - Bunbury within 20km BW CPC</v>
      </c>
      <c r="C29" s="62">
        <f>IF(C23="Not Offered","",VLOOKUP(C23,Data!$G:$AL,5+2*(MATCH($B$3,Locations,0)),FALSE))</f>
        <v>9.3500000000000007E-3</v>
      </c>
      <c r="D29" s="68">
        <f>IF(D23="Not Offered","",VLOOKUP(D23,Data!$G:$AL,5+2*(MATCH($B$3,Locations,0)),FALSE))</f>
        <v>9.3500000000000007E-3</v>
      </c>
      <c r="E29" s="62">
        <f>IF(E23="Not Offered","",VLOOKUP(E23,Data!$G:$AL,5+2*(MATCH($B$3,Locations,0)),FALSE))</f>
        <v>1.7600000000000001E-2</v>
      </c>
      <c r="F29" s="68">
        <f>IF(F23="Not Offered","",VLOOKUP(F23,Data!$G:$AL,5+2*(MATCH($B$3,Locations,0)),FALSE))</f>
        <v>1.7600000000000001E-2</v>
      </c>
      <c r="G29" s="62">
        <f>IF(G23="Not Offered","",VLOOKUP(G23,Data!$G:$AL,5+2*(MATCH($B$3,Locations,0)),FALSE))</f>
        <v>1.6500000000000001E-2</v>
      </c>
      <c r="H29" s="68">
        <f>IF(H23="Not Offered","",VLOOKUP(H23,Data!$G:$AL,5+2*(MATCH($B$3,Locations,0)),FALSE))</f>
        <v>9.9000000000000008E-3</v>
      </c>
      <c r="I29" s="62">
        <f>IF(I23="Not Offered","",VLOOKUP(I23,Data!$G:$AL,5+2*(MATCH($B$3,Locations,0)),FALSE))</f>
        <v>1.397E-2</v>
      </c>
      <c r="J29" s="68">
        <f>IF(J23="Not Offered","",VLOOKUP(J23,Data!$G:$AL,5+2*(MATCH($B$3,Locations,0)),FALSE))</f>
        <v>1.6610000000000003E-2</v>
      </c>
    </row>
    <row r="30" spans="1:10" ht="24.95" customHeight="1" x14ac:dyDescent="0.2">
      <c r="A30" s="397"/>
      <c r="B30" s="66" t="str">
        <f>$B$3&amp;" Surcharge &amp; Installation"</f>
        <v>Zone 2 - Bunbury within 20km Surcharge &amp; Installation</v>
      </c>
      <c r="C30" s="61">
        <f>IF(C23="Not Offered","",IF($B$3="Zone 1 (Perth Metro)",0,VLOOKUP(C23,Data!$G:$BK,44+(MATCH($B$3,Locations,0)),FALSE)))</f>
        <v>385</v>
      </c>
      <c r="D30" s="229">
        <f>IF(D23="Not Offered","",IF($B$3="Zone 1 (Perth Metro)",0,VLOOKUP(D23,Data!$G:$BK,44+(MATCH($B$3,Locations,0)),FALSE)))</f>
        <v>385</v>
      </c>
      <c r="E30" s="235">
        <f>IF(E23="Not Offered","",IF($B$3="Zone 1 (Perth Metro)",0,VLOOKUP(E23,Data!$G:$BK,44+(MATCH($B$3,Locations,0)),FALSE)))</f>
        <v>1342</v>
      </c>
      <c r="F30" s="229">
        <f>IF(F23="Not Offered","",IF($B$3="Zone 1 (Perth Metro)",0,VLOOKUP(F23,Data!$G:$BK,44+(MATCH($B$3,Locations,0)),FALSE)))</f>
        <v>1386</v>
      </c>
      <c r="G30" s="235">
        <f>IF(G23="Not Offered","",IF($B$3="Zone 1 (Perth Metro)",0,VLOOKUP(G23,Data!$G:$BK,44+(MATCH($B$3,Locations,0)),FALSE)))</f>
        <v>330</v>
      </c>
      <c r="H30" s="229">
        <f>IF(H23="Not Offered","",IF($B$3="Zone 1 (Perth Metro)",0,VLOOKUP(H23,Data!$G:$BK,44+(MATCH($B$3,Locations,0)),FALSE)))</f>
        <v>440</v>
      </c>
      <c r="I30" s="235">
        <f>IF(I23="Not Offered","",IF($B$3="Zone 1 (Perth Metro)",0,VLOOKUP(I23,Data!$G:$BK,44+(MATCH($B$3,Locations,0)),FALSE)))</f>
        <v>854.37000000000012</v>
      </c>
      <c r="J30" s="229">
        <f>IF(J23="Not Offered","",IF($B$3="Zone 1 (Perth Metro)",0,VLOOKUP(J23,Data!$G:$BK,44+(MATCH($B$3,Locations,0)),FALSE)))</f>
        <v>558.14</v>
      </c>
    </row>
    <row r="31" spans="1:10" ht="24.95" customHeight="1" x14ac:dyDescent="0.2">
      <c r="A31" s="65" t="s">
        <v>70</v>
      </c>
      <c r="B31" s="66" t="s">
        <v>71</v>
      </c>
      <c r="C31" s="14" t="str">
        <f>IF(C24="Not Offered","",IF(C26&gt;=$D$3*5,"Y","N"))</f>
        <v>Y</v>
      </c>
      <c r="D31" s="4" t="str">
        <f t="shared" ref="D31:J31" si="2">IF(D24="Not Offered","",IF(D26&gt;=$D$3*5,"Y","N"))</f>
        <v>Y</v>
      </c>
      <c r="E31" s="14" t="str">
        <f t="shared" si="2"/>
        <v>Y</v>
      </c>
      <c r="F31" s="4" t="str">
        <f t="shared" si="2"/>
        <v>Y</v>
      </c>
      <c r="G31" s="14" t="str">
        <f t="shared" si="2"/>
        <v>Y</v>
      </c>
      <c r="H31" s="4" t="str">
        <f t="shared" si="2"/>
        <v>Y</v>
      </c>
      <c r="I31" s="14" t="str">
        <f t="shared" si="2"/>
        <v>Y</v>
      </c>
      <c r="J31" s="4" t="str">
        <f t="shared" si="2"/>
        <v>N</v>
      </c>
    </row>
    <row r="32" spans="1:10" ht="24.95" customHeight="1" x14ac:dyDescent="0.2">
      <c r="A32" s="393" t="s">
        <v>66</v>
      </c>
      <c r="B32" s="66" t="s">
        <v>68</v>
      </c>
      <c r="C32" s="96">
        <f>IF(OR(C23="Not Offered",C29="N/A"),"",IF(C31="Y",C28,((ROUNDUP(($D$3*5)/C26,0))*C28))+(C29*$D$3*5))</f>
        <v>7552.6</v>
      </c>
      <c r="D32" s="12">
        <f t="shared" ref="D32:I32" si="3">IF(OR(D23="Not Offered",D29="N/A"),"",IF(D31="Y",D28,((ROUNDUP(($D$3*5)/D26,0))*D28))+(D29*$D$3*5))</f>
        <v>8681.2000000000007</v>
      </c>
      <c r="E32" s="96">
        <f t="shared" si="3"/>
        <v>11933.762500000001</v>
      </c>
      <c r="F32" s="12">
        <f t="shared" si="3"/>
        <v>12169.1625</v>
      </c>
      <c r="G32" s="96">
        <f t="shared" si="3"/>
        <v>10395</v>
      </c>
      <c r="H32" s="12">
        <f t="shared" si="3"/>
        <v>7564.7000000000007</v>
      </c>
      <c r="I32" s="96">
        <f t="shared" si="3"/>
        <v>9678.1959999999999</v>
      </c>
      <c r="J32" s="12">
        <f>IF(OR(J23="Not Offered",J29="N/A"),"",IF(J31="Y",J28,((ROUNDUP(($D$3*5)/J26,0))*J28))+J30+(J29*$D$3*5))</f>
        <v>11225.940000000002</v>
      </c>
    </row>
    <row r="33" spans="1:14" ht="24.95" customHeight="1" x14ac:dyDescent="0.2">
      <c r="A33" s="340"/>
      <c r="B33" s="66" t="s">
        <v>67</v>
      </c>
      <c r="C33" s="13">
        <f t="shared" ref="C33:J33" si="4">IF(C32="","",IF(ISNA(RANK(C32,$A32:$J32)),"",RANK(C32,$A32:$J32,1)))</f>
        <v>1</v>
      </c>
      <c r="D33" s="11">
        <f t="shared" si="4"/>
        <v>3</v>
      </c>
      <c r="E33" s="13">
        <f t="shared" si="4"/>
        <v>7</v>
      </c>
      <c r="F33" s="11">
        <f t="shared" si="4"/>
        <v>8</v>
      </c>
      <c r="G33" s="13">
        <f t="shared" si="4"/>
        <v>5</v>
      </c>
      <c r="H33" s="11">
        <f t="shared" si="4"/>
        <v>2</v>
      </c>
      <c r="I33" s="13">
        <f t="shared" si="4"/>
        <v>4</v>
      </c>
      <c r="J33" s="11">
        <f t="shared" si="4"/>
        <v>6</v>
      </c>
    </row>
    <row r="34" spans="1:14" ht="15" customHeight="1" x14ac:dyDescent="0.2">
      <c r="E34" s="1"/>
    </row>
    <row r="35" spans="1:14" ht="24.95" customHeight="1" x14ac:dyDescent="0.2">
      <c r="A35" s="376" t="s">
        <v>1723</v>
      </c>
      <c r="B35" s="377"/>
      <c r="C35" s="377"/>
      <c r="D35" s="377"/>
      <c r="E35" s="377"/>
      <c r="F35" s="377"/>
      <c r="G35" s="377"/>
      <c r="H35" s="377"/>
      <c r="I35" s="377"/>
      <c r="J35" s="377"/>
      <c r="K35" s="377"/>
      <c r="L35" s="377"/>
      <c r="M35" s="377"/>
      <c r="N35" s="378"/>
    </row>
    <row r="36" spans="1:14" ht="24.95" customHeight="1" x14ac:dyDescent="0.2">
      <c r="A36" s="414" t="s">
        <v>4</v>
      </c>
      <c r="B36" s="414" t="s">
        <v>65</v>
      </c>
      <c r="C36" s="373" t="s">
        <v>2013</v>
      </c>
      <c r="D36" s="405"/>
      <c r="E36" s="406"/>
      <c r="F36" s="373" t="s">
        <v>10</v>
      </c>
      <c r="G36" s="405"/>
      <c r="H36" s="406"/>
      <c r="I36" s="373" t="s">
        <v>7</v>
      </c>
      <c r="J36" s="405"/>
      <c r="K36" s="406"/>
      <c r="L36" s="373" t="s">
        <v>8</v>
      </c>
      <c r="M36" s="405"/>
      <c r="N36" s="406"/>
    </row>
    <row r="37" spans="1:14" ht="30" customHeight="1" x14ac:dyDescent="0.2">
      <c r="A37" s="415"/>
      <c r="B37" s="415"/>
      <c r="C37" s="70" t="s">
        <v>404</v>
      </c>
      <c r="D37" s="70" t="s">
        <v>405</v>
      </c>
      <c r="E37" s="70" t="s">
        <v>406</v>
      </c>
      <c r="F37" s="70" t="s">
        <v>404</v>
      </c>
      <c r="G37" s="70" t="s">
        <v>405</v>
      </c>
      <c r="H37" s="70" t="s">
        <v>406</v>
      </c>
      <c r="I37" s="70" t="s">
        <v>404</v>
      </c>
      <c r="J37" s="70" t="s">
        <v>405</v>
      </c>
      <c r="K37" s="70" t="s">
        <v>406</v>
      </c>
      <c r="L37" s="70" t="s">
        <v>404</v>
      </c>
      <c r="M37" s="70" t="s">
        <v>405</v>
      </c>
      <c r="N37" s="70" t="s">
        <v>406</v>
      </c>
    </row>
    <row r="38" spans="1:14" ht="24.95" customHeight="1" x14ac:dyDescent="0.2">
      <c r="A38" s="393" t="s">
        <v>37</v>
      </c>
      <c r="B38" s="64" t="s">
        <v>29</v>
      </c>
      <c r="C38" s="14" t="str">
        <f>IF(C39="Not Offered","Not Offered",VLOOKUP(C39,Data!$H:$CV,93,FALSE))</f>
        <v>DPM385z</v>
      </c>
      <c r="D38" s="4" t="str">
        <f>IF(D39="Not Offered","Not Offered",VLOOKUP(D39,Data!$H:$CV,93,FALSE))</f>
        <v>AP4570</v>
      </c>
      <c r="E38" s="14" t="str">
        <f>IF(E39="Not Offered","Not Offered",VLOOKUP(E39,Data!$H:$CV,93,FALSE))</f>
        <v>AP5570</v>
      </c>
      <c r="F38" s="4" t="str">
        <f>IF(F39="Not Offered","Not Offered",VLOOKUP(F39,Data!$H:$CV,93,FALSE))</f>
        <v>4051iB</v>
      </c>
      <c r="G38" s="14" t="str">
        <f>IF(G39="Not Offered","Not Offered",VLOOKUP(G39,Data!$H:$CV,93,FALSE))</f>
        <v>450ib1-WA</v>
      </c>
      <c r="H38" s="4" t="str">
        <f>IF(H39="Not Offered","Not Offered",VLOOKUP(H39,Data!$H:$CV,93,FALSE))</f>
        <v>550ib1-WA</v>
      </c>
      <c r="I38" s="14" t="str">
        <f>IF(I39="Not Offered","Not Offered",VLOOKUP(I39,Data!$H:$CV,93,FALSE))</f>
        <v>1102ZS3AU0</v>
      </c>
      <c r="J38" s="4" t="str">
        <f>IF(J39="Not Offered","Not Offered",VLOOKUP(J39,Data!$H:$CV,93,FALSE))</f>
        <v>1102YS3AU0</v>
      </c>
      <c r="K38" s="14" t="str">
        <f>IF(K39="Not Offered","Not Offered",VLOOKUP(K39,Data!$H:$CV,93,FALSE))</f>
        <v>1102S33AS0</v>
      </c>
      <c r="L38" s="4">
        <f>IF(L39="Not Offered","Not Offered",VLOOKUP(L39,Data!$H:$CV,93,FALSE))</f>
        <v>418846</v>
      </c>
      <c r="M38" s="14">
        <f>IF(M39="Not Offered","Not Offered",VLOOKUP(M39,Data!$H:$CV,93,FALSE))</f>
        <v>418460</v>
      </c>
      <c r="N38" s="4">
        <f>IF(N39="Not Offered","Not Offered",VLOOKUP(N39,Data!$H:$CV,93,FALSE))</f>
        <v>418491</v>
      </c>
    </row>
    <row r="39" spans="1:14" ht="24.95" customHeight="1" x14ac:dyDescent="0.2">
      <c r="A39" s="395"/>
      <c r="B39" s="66" t="s">
        <v>72</v>
      </c>
      <c r="C39" s="13" t="str">
        <f>Data!$H61</f>
        <v>DocuPrint M385z</v>
      </c>
      <c r="D39" s="11" t="str">
        <f>Data!$H62</f>
        <v>ApeosPort 4570</v>
      </c>
      <c r="E39" s="13" t="str">
        <f>Data!$H63</f>
        <v>ApeosPort 5570</v>
      </c>
      <c r="F39" s="11" t="str">
        <f>Data!$H70</f>
        <v>bizhub 4051i</v>
      </c>
      <c r="G39" s="13" t="str">
        <f>Data!$H71</f>
        <v>bizhub 450i</v>
      </c>
      <c r="H39" s="11" t="str">
        <f>Data!$H72</f>
        <v>bizhub 550i</v>
      </c>
      <c r="I39" s="13" t="str">
        <f>Data!$H79</f>
        <v>MZ4000i</v>
      </c>
      <c r="J39" s="11" t="str">
        <f>Data!$H80</f>
        <v>TASKalfa 5004i</v>
      </c>
      <c r="K39" s="13" t="str">
        <f>Data!$H81</f>
        <v>Ecosys M2040dn</v>
      </c>
      <c r="L39" s="11" t="str">
        <f>Data!$H88</f>
        <v>IM 4000</v>
      </c>
      <c r="M39" s="13" t="str">
        <f>Data!$H89</f>
        <v>IM 550F</v>
      </c>
      <c r="N39" s="11" t="str">
        <f>Data!$H90</f>
        <v>IM 430F</v>
      </c>
    </row>
    <row r="40" spans="1:14" ht="24.95" customHeight="1" x14ac:dyDescent="0.2">
      <c r="A40" s="395"/>
      <c r="B40" s="66" t="s">
        <v>33</v>
      </c>
      <c r="C40" s="13">
        <f>IF(C38="Not Offered","",VLOOKUP(C38,Data!$G:$BB,3,FALSE))</f>
        <v>50</v>
      </c>
      <c r="D40" s="11">
        <f>IF(D38="Not Offered","",VLOOKUP(D38,Data!$G:$BB,3,FALSE))</f>
        <v>45</v>
      </c>
      <c r="E40" s="13">
        <f>IF(E38="Not Offered","",VLOOKUP(E38,Data!$G:$BB,3,FALSE))</f>
        <v>55</v>
      </c>
      <c r="F40" s="11">
        <f>IF(F38="Not Offered","",VLOOKUP(F38,Data!$G:$BB,3,FALSE))</f>
        <v>40</v>
      </c>
      <c r="G40" s="13">
        <f>IF(G38="Not Offered","",VLOOKUP(G38,Data!$G:$BB,3,FALSE))</f>
        <v>45</v>
      </c>
      <c r="H40" s="11">
        <f>IF(H38="Not Offered","",VLOOKUP(H38,Data!$G:$BB,3,FALSE))</f>
        <v>55</v>
      </c>
      <c r="I40" s="13">
        <f>IF(I38="Not Offered","",VLOOKUP(I38,Data!$G:$BB,3,FALSE))</f>
        <v>40</v>
      </c>
      <c r="J40" s="11">
        <f>IF(J38="Not Offered","",VLOOKUP(J38,Data!$G:$BB,3,FALSE))</f>
        <v>50</v>
      </c>
      <c r="K40" s="13">
        <f>IF(K38="Not Offered","",VLOOKUP(K38,Data!$G:$BB,3,FALSE))</f>
        <v>40</v>
      </c>
      <c r="L40" s="11">
        <f>IF(L38="Not Offered","",VLOOKUP(L38,Data!$G:$BB,3,FALSE))</f>
        <v>40</v>
      </c>
      <c r="M40" s="13">
        <f>IF(M38="Not Offered","",VLOOKUP(M38,Data!$G:$BB,3,FALSE))</f>
        <v>55</v>
      </c>
      <c r="N40" s="11">
        <f>IF(N38="Not Offered","",VLOOKUP(N38,Data!$G:$BB,3,FALSE))</f>
        <v>40</v>
      </c>
    </row>
    <row r="41" spans="1:14" ht="24.95" customHeight="1" x14ac:dyDescent="0.2">
      <c r="A41" s="395"/>
      <c r="B41" s="66" t="s">
        <v>30</v>
      </c>
      <c r="C41" s="60">
        <f>IF(C38="Not Offered","",VLOOKUP(C38,Data!$G:$BB,4,FALSE))</f>
        <v>300000</v>
      </c>
      <c r="D41" s="59">
        <f>IF(D38="Not Offered","",VLOOKUP(D38,Data!$G:$BB,4,FALSE))</f>
        <v>2400000</v>
      </c>
      <c r="E41" s="60">
        <f>IF(E38="Not Offered","",VLOOKUP(E38,Data!$G:$BB,4,FALSE))</f>
        <v>2400000</v>
      </c>
      <c r="F41" s="59">
        <f>IF(F38="Not Offered","",VLOOKUP(F38,Data!$G:$BB,4,FALSE))</f>
        <v>500000</v>
      </c>
      <c r="G41" s="60">
        <f>IF(G38="Not Offered","",VLOOKUP(G38,Data!$G:$BB,4,FALSE))</f>
        <v>1800000</v>
      </c>
      <c r="H41" s="59">
        <f>IF(H38="Not Offered","",VLOOKUP(H38,Data!$G:$BB,4,FALSE))</f>
        <v>2000000</v>
      </c>
      <c r="I41" s="60">
        <f>IF(I38="Not Offered","",VLOOKUP(I38,Data!$G:$BB,4,FALSE))</f>
        <v>1800000</v>
      </c>
      <c r="J41" s="59">
        <f>IF(J38="Not Offered","",VLOOKUP(J38,Data!$G:$BB,4,FALSE))</f>
        <v>2400000</v>
      </c>
      <c r="K41" s="60">
        <f>IF(K38="Not Offered","",VLOOKUP(K38,Data!$G:$BB,4,FALSE))</f>
        <v>200000</v>
      </c>
      <c r="L41" s="59">
        <f>IF(L38="Not Offered","",VLOOKUP(L38,Data!$G:$BB,4,FALSE))</f>
        <v>3200000</v>
      </c>
      <c r="M41" s="60">
        <f>IF(M38="Not Offered","",VLOOKUP(M38,Data!$G:$BB,4,FALSE))</f>
        <v>1000000</v>
      </c>
      <c r="N41" s="59">
        <f>IF(N38="Not Offered","",VLOOKUP(N38,Data!$G:$BB,4,FALSE))</f>
        <v>600000</v>
      </c>
    </row>
    <row r="42" spans="1:14" ht="24.95" customHeight="1" x14ac:dyDescent="0.2">
      <c r="A42" s="340"/>
      <c r="B42" s="66" t="s">
        <v>31</v>
      </c>
      <c r="C42" s="60">
        <f>IF(C38="Not Offered","",VLOOKUP(C38,Data!$G:$BB,5,FALSE))</f>
        <v>100000</v>
      </c>
      <c r="D42" s="59">
        <f>IF(D38="Not Offered","",VLOOKUP(D38,Data!$G:$BB,5,FALSE))</f>
        <v>207000</v>
      </c>
      <c r="E42" s="60">
        <f>IF(E38="Not Offered","",VLOOKUP(E38,Data!$G:$BB,5,FALSE))</f>
        <v>270000</v>
      </c>
      <c r="F42" s="59">
        <f>IF(F38="Not Offered","",VLOOKUP(F38,Data!$G:$BB,5,FALSE))</f>
        <v>8400</v>
      </c>
      <c r="G42" s="60">
        <f>IF(G38="Not Offered","",VLOOKUP(G38,Data!$G:$BB,5,FALSE))</f>
        <v>30000</v>
      </c>
      <c r="H42" s="59">
        <f>IF(H38="Not Offered","",VLOOKUP(H38,Data!$G:$BB,5,FALSE))</f>
        <v>33333</v>
      </c>
      <c r="I42" s="60">
        <f>IF(I38="Not Offered","",VLOOKUP(I38,Data!$G:$BB,5,FALSE))</f>
        <v>30000</v>
      </c>
      <c r="J42" s="59">
        <f>IF(J38="Not Offered","",VLOOKUP(J38,Data!$G:$BB,5,FALSE))</f>
        <v>40000</v>
      </c>
      <c r="K42" s="60">
        <f>IF(K38="Not Offered","",VLOOKUP(K38,Data!$G:$BB,5,FALSE))</f>
        <v>5000</v>
      </c>
      <c r="L42" s="59">
        <f>IF(L38="Not Offered","",VLOOKUP(L38,Data!$G:$BB,5,FALSE))</f>
        <v>50000</v>
      </c>
      <c r="M42" s="60">
        <f>IF(M38="Not Offered","",VLOOKUP(M38,Data!$G:$BB,5,FALSE))</f>
        <v>16000</v>
      </c>
      <c r="N42" s="59">
        <f>IF(N38="Not Offered","",VLOOKUP(N38,Data!$G:$BB,5,FALSE))</f>
        <v>10000</v>
      </c>
    </row>
    <row r="43" spans="1:14" ht="24.95" customHeight="1" x14ac:dyDescent="0.2">
      <c r="A43" s="393" t="s">
        <v>63</v>
      </c>
      <c r="B43" s="66" t="s">
        <v>64</v>
      </c>
      <c r="C43" s="61">
        <f>IF(C38="Not Offered","",VLOOKUP(C38,Data!$G:$BB,6,FALSE))</f>
        <v>2085.6</v>
      </c>
      <c r="D43" s="67">
        <f>IF(D38="Not Offered","",VLOOKUP(D38,Data!$G:$BB,6,FALSE))</f>
        <v>4263.6000000000004</v>
      </c>
      <c r="E43" s="61">
        <f>IF(E38="Not Offered","",VLOOKUP(E38,Data!$G:$BB,6,FALSE))</f>
        <v>5399.9</v>
      </c>
      <c r="F43" s="67">
        <f>IF(F38="Not Offered","",VLOOKUP(F38,Data!$G:$BB,6,FALSE))</f>
        <v>1588.95</v>
      </c>
      <c r="G43" s="61">
        <f>IF(G38="Not Offered","",VLOOKUP(G38,Data!$G:$BB,6,FALSE))</f>
        <v>3722.3160000000003</v>
      </c>
      <c r="H43" s="67">
        <f>IF(H38="Not Offered","",VLOOKUP(H38,Data!$G:$BB,6,FALSE))</f>
        <v>4546.1625000000004</v>
      </c>
      <c r="I43" s="61">
        <f>IF(I38="Not Offered","",VLOOKUP(I38,Data!$G:$BB,6,FALSE))</f>
        <v>3173.5</v>
      </c>
      <c r="J43" s="67">
        <f>IF(J38="Not Offered","",VLOOKUP(J38,Data!$G:$BB,6,FALSE))</f>
        <v>4004</v>
      </c>
      <c r="K43" s="61">
        <f>IF(K38="Not Offered","",VLOOKUP(K38,Data!$G:$BB,6,FALSE))</f>
        <v>667.7</v>
      </c>
      <c r="L43" s="67">
        <f>IF(L38="Not Offered","",VLOOKUP(L38,Data!$G:$BB,6,FALSE))</f>
        <v>3409.5600000000004</v>
      </c>
      <c r="M43" s="61">
        <f>IF(M38="Not Offered","",VLOOKUP(M38,Data!$G:$BB,6,FALSE))</f>
        <v>1736.8560000000002</v>
      </c>
      <c r="N43" s="67">
        <f>IF(N38="Not Offered","",VLOOKUP(N38,Data!$G:$BB,6,FALSE))</f>
        <v>1610.9280000000001</v>
      </c>
    </row>
    <row r="44" spans="1:14" ht="24.95" customHeight="1" x14ac:dyDescent="0.2">
      <c r="A44" s="396"/>
      <c r="B44" s="66" t="str">
        <f>$B$3&amp;" BW CPC"</f>
        <v>Zone 2 - Bunbury within 20km BW CPC</v>
      </c>
      <c r="C44" s="62">
        <f>IF(C38="Not Offered","",VLOOKUP(C38,Data!$G:$AL,5+2*(MATCH($B$3,Locations,0)),FALSE))</f>
        <v>1.6500000000000001E-2</v>
      </c>
      <c r="D44" s="68">
        <f>IF(D38="Not Offered","",VLOOKUP(D38,Data!$G:$AL,5+2*(MATCH($B$3,Locations,0)),FALSE))</f>
        <v>9.3500000000000007E-3</v>
      </c>
      <c r="E44" s="62">
        <f>IF(E38="Not Offered","",VLOOKUP(E38,Data!$G:$AL,5+2*(MATCH($B$3,Locations,0)),FALSE))</f>
        <v>9.3500000000000007E-3</v>
      </c>
      <c r="F44" s="68">
        <f>IF(F38="Not Offered","",VLOOKUP(F38,Data!$G:$AL,5+2*(MATCH($B$3,Locations,0)),FALSE))</f>
        <v>1.9800000000000002E-2</v>
      </c>
      <c r="G44" s="62">
        <f>IF(G38="Not Offered","",VLOOKUP(G38,Data!$G:$AL,5+2*(MATCH($B$3,Locations,0)),FALSE))</f>
        <v>1.54E-2</v>
      </c>
      <c r="H44" s="68">
        <f>IF(H38="Not Offered","",VLOOKUP(H38,Data!$G:$AL,5+2*(MATCH($B$3,Locations,0)),FALSE))</f>
        <v>1.54E-2</v>
      </c>
      <c r="I44" s="62">
        <f>IF(I38="Not Offered","",VLOOKUP(I38,Data!$G:$AL,5+2*(MATCH($B$3,Locations,0)),FALSE))</f>
        <v>9.9000000000000008E-3</v>
      </c>
      <c r="J44" s="68">
        <f>IF(J38="Not Offered","",VLOOKUP(J38,Data!$G:$AL,5+2*(MATCH($B$3,Locations,0)),FALSE))</f>
        <v>9.9000000000000008E-3</v>
      </c>
      <c r="K44" s="62">
        <f>IF(K38="Not Offered","",VLOOKUP(K38,Data!$G:$AL,5+2*(MATCH($B$3,Locations,0)),FALSE))</f>
        <v>2.1999999999999999E-2</v>
      </c>
      <c r="L44" s="68">
        <f>IF(L38="Not Offered","",VLOOKUP(L38,Data!$G:$AL,5+2*(MATCH($B$3,Locations,0)),FALSE))</f>
        <v>1.3090000000000003E-2</v>
      </c>
      <c r="M44" s="62">
        <f>IF(M38="Not Offered","",VLOOKUP(M38,Data!$G:$AL,5+2*(MATCH($B$3,Locations,0)),FALSE))</f>
        <v>2.3540000000000002E-2</v>
      </c>
      <c r="N44" s="68">
        <f>IF(N38="Not Offered","",VLOOKUP(N38,Data!$G:$AL,5+2*(MATCH($B$3,Locations,0)),FALSE))</f>
        <v>2.3540000000000002E-2</v>
      </c>
    </row>
    <row r="45" spans="1:14" ht="24.95" customHeight="1" x14ac:dyDescent="0.2">
      <c r="A45" s="397"/>
      <c r="B45" s="66" t="str">
        <f>$B$3&amp;" Surcharge &amp; Installation"</f>
        <v>Zone 2 - Bunbury within 20km Surcharge &amp; Installation</v>
      </c>
      <c r="C45" s="61">
        <f>IF(C38="Not Offered","",IF($B$3="Zone 1 (Perth Metro)",0,VLOOKUP(C38,Data!$G:$BK,44+(MATCH($B$3,Locations,0)),FALSE)))</f>
        <v>385</v>
      </c>
      <c r="D45" s="229">
        <f>IF(D38="Not Offered","",IF($B$3="Zone 1 (Perth Metro)",0,VLOOKUP(D38,Data!$G:$BK,44+(MATCH($B$3,Locations,0)),FALSE)))</f>
        <v>385</v>
      </c>
      <c r="E45" s="235">
        <f>IF(E38="Not Offered","",IF($B$3="Zone 1 (Perth Metro)",0,VLOOKUP(E38,Data!$G:$BK,44+(MATCH($B$3,Locations,0)),FALSE)))</f>
        <v>385</v>
      </c>
      <c r="F45" s="229">
        <f>IF(F38="Not Offered","",IF($B$3="Zone 1 (Perth Metro)",0,VLOOKUP(F38,Data!$G:$BK,44+(MATCH($B$3,Locations,0)),FALSE)))</f>
        <v>1056</v>
      </c>
      <c r="G45" s="235">
        <f>IF(G38="Not Offered","",IF($B$3="Zone 1 (Perth Metro)",0,VLOOKUP(G38,Data!$G:$BK,44+(MATCH($B$3,Locations,0)),FALSE)))</f>
        <v>1452</v>
      </c>
      <c r="H45" s="229">
        <f>IF(H38="Not Offered","",IF($B$3="Zone 1 (Perth Metro)",0,VLOOKUP(H38,Data!$G:$BK,44+(MATCH($B$3,Locations,0)),FALSE)))</f>
        <v>1606</v>
      </c>
      <c r="I45" s="235">
        <f>IF(I38="Not Offered","",IF($B$3="Zone 1 (Perth Metro)",0,VLOOKUP(I38,Data!$G:$BK,44+(MATCH($B$3,Locations,0)),FALSE)))</f>
        <v>440</v>
      </c>
      <c r="J45" s="229">
        <f>IF(J38="Not Offered","",IF($B$3="Zone 1 (Perth Metro)",0,VLOOKUP(J38,Data!$G:$BK,44+(MATCH($B$3,Locations,0)),FALSE)))</f>
        <v>660</v>
      </c>
      <c r="K45" s="235">
        <f>IF(K38="Not Offered","",IF($B$3="Zone 1 (Perth Metro)",0,VLOOKUP(K38,Data!$G:$BK,44+(MATCH($B$3,Locations,0)),FALSE)))</f>
        <v>110</v>
      </c>
      <c r="L45" s="229">
        <f>IF(L38="Not Offered","",IF($B$3="Zone 1 (Perth Metro)",0,VLOOKUP(L38,Data!$G:$BK,44+(MATCH($B$3,Locations,0)),FALSE)))</f>
        <v>920.7</v>
      </c>
      <c r="M45" s="235">
        <f>IF(M38="Not Offered","",IF($B$3="Zone 1 (Perth Metro)",0,VLOOKUP(M38,Data!$G:$BK,44+(MATCH($B$3,Locations,0)),FALSE)))</f>
        <v>613.68560000000002</v>
      </c>
      <c r="N45" s="229">
        <f>IF(N38="Not Offered","",IF($B$3="Zone 1 (Perth Metro)",0,VLOOKUP(N38,Data!$G:$BK,44+(MATCH($B$3,Locations,0)),FALSE)))</f>
        <v>589.16000000000008</v>
      </c>
    </row>
    <row r="46" spans="1:14" ht="24.95" customHeight="1" x14ac:dyDescent="0.2">
      <c r="A46" s="65" t="s">
        <v>70</v>
      </c>
      <c r="B46" s="66" t="s">
        <v>71</v>
      </c>
      <c r="C46" s="14" t="str">
        <f>IF(C39="Not Offered","",IF(C41&gt;=$D$3*5,"Y","N"))</f>
        <v>N</v>
      </c>
      <c r="D46" s="4" t="str">
        <f t="shared" ref="D46:N46" si="5">IF(D39="Not Offered","",IF(D41&gt;=$D$3*5,"Y","N"))</f>
        <v>Y</v>
      </c>
      <c r="E46" s="14" t="str">
        <f t="shared" si="5"/>
        <v>Y</v>
      </c>
      <c r="F46" s="4" t="str">
        <f t="shared" si="5"/>
        <v>Y</v>
      </c>
      <c r="G46" s="14" t="str">
        <f t="shared" si="5"/>
        <v>Y</v>
      </c>
      <c r="H46" s="4" t="str">
        <f t="shared" si="5"/>
        <v>Y</v>
      </c>
      <c r="I46" s="14" t="str">
        <f t="shared" si="5"/>
        <v>Y</v>
      </c>
      <c r="J46" s="4" t="str">
        <f t="shared" si="5"/>
        <v>Y</v>
      </c>
      <c r="K46" s="14" t="str">
        <f t="shared" si="5"/>
        <v>N</v>
      </c>
      <c r="L46" s="4" t="str">
        <f t="shared" si="5"/>
        <v>Y</v>
      </c>
      <c r="M46" s="14" t="str">
        <f t="shared" si="5"/>
        <v>Y</v>
      </c>
      <c r="N46" s="4" t="str">
        <f t="shared" si="5"/>
        <v>Y</v>
      </c>
    </row>
    <row r="47" spans="1:14" ht="24.95" customHeight="1" x14ac:dyDescent="0.2">
      <c r="A47" s="393" t="s">
        <v>66</v>
      </c>
      <c r="B47" s="66" t="s">
        <v>68</v>
      </c>
      <c r="C47" s="96">
        <f>IF(OR(C38="Not Offered",C44="N/A"),"",IF(C46="Y",C43,((ROUNDUP(($D$3*5)/C41,0))*C43))+(C44*$D$3*5))</f>
        <v>12421.2</v>
      </c>
      <c r="D47" s="12">
        <f t="shared" ref="D47:N47" si="6">IF(OR(D38="Not Offered",D44="N/A"),"",IF(D46="Y",D43,((ROUNDUP(($D$3*5)/D41,0))*D43))+(D44*$D$3*5))</f>
        <v>8938.6000000000022</v>
      </c>
      <c r="E47" s="96">
        <f t="shared" si="6"/>
        <v>10074.900000000001</v>
      </c>
      <c r="F47" s="12">
        <f t="shared" si="6"/>
        <v>11488.950000000003</v>
      </c>
      <c r="G47" s="96">
        <f t="shared" si="6"/>
        <v>11422.316000000001</v>
      </c>
      <c r="H47" s="12">
        <f t="shared" si="6"/>
        <v>12246.1625</v>
      </c>
      <c r="I47" s="96">
        <f t="shared" si="6"/>
        <v>8123.5000000000009</v>
      </c>
      <c r="J47" s="12">
        <f t="shared" si="6"/>
        <v>8954</v>
      </c>
      <c r="K47" s="12">
        <f>IF(OR(K38="Not Offered",K44="N/A"),"",IF(K46="Y",K43,((ROUNDUP(($D$3*5)/K41,0))*K43))+(K44*$D$3*5))</f>
        <v>13003.1</v>
      </c>
      <c r="L47" s="12">
        <f>IF(OR(L38="Not Offered",L44="N/A"),"",IF(L46="Y",L43,((ROUNDUP(($D$3*5)/L41,0))*L43))+(L44*$D$3*5))</f>
        <v>9954.5600000000013</v>
      </c>
      <c r="M47" s="96">
        <f t="shared" si="6"/>
        <v>13506.856</v>
      </c>
      <c r="N47" s="12">
        <f t="shared" si="6"/>
        <v>13380.928</v>
      </c>
    </row>
    <row r="48" spans="1:14" ht="24.95" customHeight="1" x14ac:dyDescent="0.2">
      <c r="A48" s="340"/>
      <c r="B48" s="66" t="s">
        <v>67</v>
      </c>
      <c r="C48" s="13">
        <f t="shared" ref="C48:J48" si="7">IF(C47="","",IF(ISNA(RANK(C47,$A47:$N47)),"",RANK(C47,$A47:$N47,1)))</f>
        <v>9</v>
      </c>
      <c r="D48" s="11">
        <f t="shared" si="7"/>
        <v>2</v>
      </c>
      <c r="E48" s="13">
        <f t="shared" si="7"/>
        <v>5</v>
      </c>
      <c r="F48" s="11">
        <f t="shared" si="7"/>
        <v>7</v>
      </c>
      <c r="G48" s="13">
        <f t="shared" si="7"/>
        <v>6</v>
      </c>
      <c r="H48" s="11">
        <f t="shared" si="7"/>
        <v>8</v>
      </c>
      <c r="I48" s="13">
        <f t="shared" si="7"/>
        <v>1</v>
      </c>
      <c r="J48" s="11">
        <f t="shared" si="7"/>
        <v>3</v>
      </c>
      <c r="K48" s="11">
        <f t="shared" ref="K48:L48" si="8">IF(K47="","",IF(ISNA(RANK(K47,$A47:$N47)),"",RANK(K47,$A47:$N47,1)))</f>
        <v>10</v>
      </c>
      <c r="L48" s="11">
        <f t="shared" si="8"/>
        <v>4</v>
      </c>
      <c r="M48" s="13">
        <f>IF(M47="","",IF(ISNA(RANK(M47,$A47:$N47)),"",RANK(M47,$A47:$N47,1)))</f>
        <v>12</v>
      </c>
      <c r="N48" s="11">
        <f>IF(N47="","",IF(ISNA(RANK(N47,$A47:$N47)),"",RANK(N47,$A47:$N47,1)))</f>
        <v>11</v>
      </c>
    </row>
    <row r="49" spans="1:14" ht="15" customHeight="1" x14ac:dyDescent="0.2">
      <c r="E49" s="1"/>
    </row>
    <row r="50" spans="1:14" ht="24.95" customHeight="1" x14ac:dyDescent="0.2">
      <c r="A50" s="376" t="s">
        <v>1719</v>
      </c>
      <c r="B50" s="377"/>
      <c r="C50" s="377"/>
      <c r="D50" s="377"/>
      <c r="E50" s="377"/>
      <c r="F50" s="377"/>
      <c r="G50" s="377"/>
      <c r="H50" s="377"/>
      <c r="I50" s="377"/>
      <c r="J50" s="377"/>
      <c r="K50" s="377"/>
      <c r="L50" s="377"/>
      <c r="M50" s="377"/>
      <c r="N50" s="378"/>
    </row>
    <row r="51" spans="1:14" ht="24.95" customHeight="1" x14ac:dyDescent="0.2">
      <c r="A51" s="414" t="s">
        <v>4</v>
      </c>
      <c r="B51" s="414" t="s">
        <v>65</v>
      </c>
      <c r="C51" s="373" t="s">
        <v>2013</v>
      </c>
      <c r="D51" s="405"/>
      <c r="E51" s="406"/>
      <c r="F51" s="373" t="s">
        <v>10</v>
      </c>
      <c r="G51" s="405"/>
      <c r="H51" s="406"/>
      <c r="I51" s="373" t="s">
        <v>7</v>
      </c>
      <c r="J51" s="405"/>
      <c r="K51" s="406"/>
      <c r="L51" s="373" t="s">
        <v>8</v>
      </c>
      <c r="M51" s="405"/>
      <c r="N51" s="406"/>
    </row>
    <row r="52" spans="1:14" ht="30" customHeight="1" x14ac:dyDescent="0.2">
      <c r="A52" s="415"/>
      <c r="B52" s="415"/>
      <c r="C52" s="70" t="s">
        <v>408</v>
      </c>
      <c r="D52" s="70" t="s">
        <v>409</v>
      </c>
      <c r="E52" s="70" t="s">
        <v>410</v>
      </c>
      <c r="F52" s="70" t="s">
        <v>408</v>
      </c>
      <c r="G52" s="70" t="s">
        <v>409</v>
      </c>
      <c r="H52" s="70" t="s">
        <v>410</v>
      </c>
      <c r="I52" s="70" t="s">
        <v>408</v>
      </c>
      <c r="J52" s="70" t="s">
        <v>409</v>
      </c>
      <c r="K52" s="70" t="s">
        <v>410</v>
      </c>
      <c r="L52" s="70" t="s">
        <v>408</v>
      </c>
      <c r="M52" s="70" t="s">
        <v>409</v>
      </c>
      <c r="N52" s="70" t="s">
        <v>410</v>
      </c>
    </row>
    <row r="53" spans="1:14" ht="24.95" customHeight="1" x14ac:dyDescent="0.2">
      <c r="A53" s="394" t="s">
        <v>37</v>
      </c>
      <c r="B53" s="64" t="s">
        <v>29</v>
      </c>
      <c r="C53" s="14" t="str">
        <f>IF(C54="Not Offered","Not Offered",VLOOKUP(C54,Data!$H:$CV,93,FALSE))</f>
        <v>AP5B6080-A</v>
      </c>
      <c r="D53" s="4" t="str">
        <f>IF(D54="Not Offered","Not Offered",VLOOKUP(D54,Data!$H:$CV,93,FALSE))</f>
        <v>AP5B7080-A</v>
      </c>
      <c r="E53" s="14" t="str">
        <f>IF(E54="Not Offered","Not Offered",VLOOKUP(E54,Data!$H:$CV,93,FALSE))</f>
        <v>B9125</v>
      </c>
      <c r="F53" s="4" t="str">
        <f>IF(F54="Not Offered","Not Offered",VLOOKUP(F54,Data!$H:$CV,93,FALSE))</f>
        <v>650ib1-WA</v>
      </c>
      <c r="G53" s="14" t="str">
        <f>IF(G54="Not Offered","Not Offered",VLOOKUP(G54,Data!$H:$CV,93,FALSE))</f>
        <v>750ib1-WA</v>
      </c>
      <c r="H53" s="4" t="str">
        <f>IF(H54="Not Offered","Not Offered",VLOOKUP(H54,Data!$H:$CV,93,FALSE))</f>
        <v>958B</v>
      </c>
      <c r="I53" s="14" t="str">
        <f>IF(I54="Not Offered","Not Offered",VLOOKUP(I54,Data!$H:$CV,93,FALSE))</f>
        <v>822UG06004</v>
      </c>
      <c r="J53" s="4" t="str">
        <f>IF(J54="Not Offered","Not Offered",VLOOKUP(J54,Data!$H:$CV,93,FALSE))</f>
        <v>822UG07004</v>
      </c>
      <c r="K53" s="14" t="str">
        <f>IF(K54="Not Offered","Not Offered",VLOOKUP(K54,Data!$H:$CV,93,FALSE))</f>
        <v>1102XT3AU0</v>
      </c>
      <c r="L53" s="4">
        <f>IF(L54="Not Offered","Not Offered",VLOOKUP(L54,Data!$H:$CV,93,FALSE))</f>
        <v>418848</v>
      </c>
      <c r="M53" s="14">
        <f>IF(M54="Not Offered","Not Offered",VLOOKUP(M54,Data!$H:$CV,93,FALSE))</f>
        <v>418779</v>
      </c>
      <c r="N53" s="4">
        <f>IF(N54="Not Offered","Not Offered",VLOOKUP(N54,Data!$H:$CV,93,FALSE))</f>
        <v>418783</v>
      </c>
    </row>
    <row r="54" spans="1:14" ht="24.95" customHeight="1" x14ac:dyDescent="0.2">
      <c r="A54" s="396"/>
      <c r="B54" s="66" t="s">
        <v>72</v>
      </c>
      <c r="C54" s="13" t="str">
        <f>Data!$H64</f>
        <v>ApeosPort-V 6080</v>
      </c>
      <c r="D54" s="11" t="str">
        <f>Data!$H65</f>
        <v>ApeosPort-V 7080</v>
      </c>
      <c r="E54" s="13" t="str">
        <f>Data!$H66</f>
        <v>B9125</v>
      </c>
      <c r="F54" s="11" t="str">
        <f>Data!$H73</f>
        <v>bizhub 650i</v>
      </c>
      <c r="G54" s="13" t="str">
        <f>Data!$H74</f>
        <v>bizhub 750i</v>
      </c>
      <c r="H54" s="11" t="str">
        <f>Data!$H75</f>
        <v>bizhub 958</v>
      </c>
      <c r="I54" s="13" t="str">
        <f>Data!$H82</f>
        <v>TASkalfa 6004i</v>
      </c>
      <c r="J54" s="11" t="str">
        <f>Data!$H83</f>
        <v>TASKalfa 7004i</v>
      </c>
      <c r="K54" s="13" t="str">
        <f>Data!$H84</f>
        <v>TASKalfa 9003i</v>
      </c>
      <c r="L54" s="11" t="str">
        <f>Data!$H91</f>
        <v>IM 6000</v>
      </c>
      <c r="M54" s="13" t="str">
        <f>Data!$H92</f>
        <v>IM 7000</v>
      </c>
      <c r="N54" s="11" t="str">
        <f>Data!$H93</f>
        <v>IM 9000</v>
      </c>
    </row>
    <row r="55" spans="1:14" ht="24.95" customHeight="1" x14ac:dyDescent="0.2">
      <c r="A55" s="396"/>
      <c r="B55" s="66" t="s">
        <v>33</v>
      </c>
      <c r="C55" s="13">
        <f>IF(C53="Not Offered","",VLOOKUP(C53,Data!$G:$BB,3,FALSE))</f>
        <v>65</v>
      </c>
      <c r="D55" s="11">
        <f>IF(D53="Not Offered","",VLOOKUP(D53,Data!$G:$BB,3,FALSE))</f>
        <v>75</v>
      </c>
      <c r="E55" s="13">
        <f>IF(E53="Not Offered","",VLOOKUP(E53,Data!$G:$BB,3,FALSE))</f>
        <v>125</v>
      </c>
      <c r="F55" s="11">
        <f>IF(F53="Not Offered","",VLOOKUP(F53,Data!$G:$BB,3,FALSE))</f>
        <v>65</v>
      </c>
      <c r="G55" s="13">
        <f>IF(G53="Not Offered","",VLOOKUP(G53,Data!$G:$BB,3,FALSE))</f>
        <v>75</v>
      </c>
      <c r="H55" s="11">
        <f>IF(H53="Not Offered","",VLOOKUP(H53,Data!$G:$BB,3,FALSE))</f>
        <v>95</v>
      </c>
      <c r="I55" s="13">
        <f>IF(I53="Not Offered","",VLOOKUP(I53,Data!$G:$BB,3,FALSE))</f>
        <v>60</v>
      </c>
      <c r="J55" s="11">
        <f>IF(J53="Not Offered","",VLOOKUP(J53,Data!$G:$BB,3,FALSE))</f>
        <v>70</v>
      </c>
      <c r="K55" s="13">
        <f>IF(K53="Not Offered","",VLOOKUP(K53,Data!$G:$BB,3,FALSE))</f>
        <v>90</v>
      </c>
      <c r="L55" s="11">
        <f>IF(L53="Not Offered","",VLOOKUP(L53,Data!$G:$BB,3,FALSE))</f>
        <v>60</v>
      </c>
      <c r="M55" s="13">
        <f>IF(M53="Not Offered","",VLOOKUP(M53,Data!$G:$BB,3,FALSE))</f>
        <v>70</v>
      </c>
      <c r="N55" s="11">
        <f>IF(N53="Not Offered","",VLOOKUP(N53,Data!$G:$BB,3,FALSE))</f>
        <v>90</v>
      </c>
    </row>
    <row r="56" spans="1:14" ht="24.95" customHeight="1" x14ac:dyDescent="0.2">
      <c r="A56" s="396"/>
      <c r="B56" s="66" t="s">
        <v>30</v>
      </c>
      <c r="C56" s="60">
        <f>IF(C53="Not Offered","",VLOOKUP(C53,Data!$G:$BB,4,FALSE))</f>
        <v>5000000</v>
      </c>
      <c r="D56" s="59">
        <f>IF(D53="Not Offered","",VLOOKUP(D53,Data!$G:$BB,4,FALSE))</f>
        <v>5000000</v>
      </c>
      <c r="E56" s="60">
        <f>IF(E53="Not Offered","",VLOOKUP(E53,Data!$G:$BB,4,FALSE))</f>
        <v>36000000</v>
      </c>
      <c r="F56" s="59">
        <f>IF(F53="Not Offered","",VLOOKUP(F53,Data!$G:$BB,4,FALSE))</f>
        <v>2000000</v>
      </c>
      <c r="G56" s="60">
        <f>IF(G53="Not Offered","",VLOOKUP(G53,Data!$G:$BB,4,FALSE))</f>
        <v>5000000</v>
      </c>
      <c r="H56" s="59">
        <f>IF(H53="Not Offered","",VLOOKUP(H53,Data!$G:$BB,4,FALSE))</f>
        <v>5000000</v>
      </c>
      <c r="I56" s="60">
        <f>IF(I53="Not Offered","",VLOOKUP(I53,Data!$G:$BB,4,FALSE))</f>
        <v>2500000</v>
      </c>
      <c r="J56" s="59">
        <f>IF(J53="Not Offered","",VLOOKUP(J53,Data!$G:$BB,4,FALSE))</f>
        <v>2800000</v>
      </c>
      <c r="K56" s="60">
        <f>IF(K53="Not Offered","",VLOOKUP(K53,Data!$G:$BB,4,FALSE))</f>
        <v>5000000</v>
      </c>
      <c r="L56" s="59">
        <f>IF(L53="Not Offered","",VLOOKUP(L53,Data!$G:$BB,4,FALSE))</f>
        <v>3200000</v>
      </c>
      <c r="M56" s="60">
        <f>IF(M53="Not Offered","",VLOOKUP(M53,Data!$G:$BB,4,FALSE))</f>
        <v>9000000</v>
      </c>
      <c r="N56" s="59">
        <f>IF(N53="Not Offered","",VLOOKUP(N53,Data!$G:$BB,4,FALSE))</f>
        <v>9000000</v>
      </c>
    </row>
    <row r="57" spans="1:14" ht="24.95" customHeight="1" x14ac:dyDescent="0.2">
      <c r="A57" s="397"/>
      <c r="B57" s="66" t="s">
        <v>31</v>
      </c>
      <c r="C57" s="60">
        <f>IF(C53="Not Offered","",VLOOKUP(C53,Data!$G:$BB,5,FALSE))</f>
        <v>350000</v>
      </c>
      <c r="D57" s="59">
        <f>IF(D53="Not Offered","",VLOOKUP(D53,Data!$G:$BB,5,FALSE))</f>
        <v>350000</v>
      </c>
      <c r="E57" s="60">
        <f>IF(E53="Not Offered","",VLOOKUP(E53,Data!$G:$BB,5,FALSE))</f>
        <v>1000000</v>
      </c>
      <c r="F57" s="59">
        <f>IF(F53="Not Offered","",VLOOKUP(F53,Data!$G:$BB,5,FALSE))</f>
        <v>33333</v>
      </c>
      <c r="G57" s="60">
        <f>IF(G53="Not Offered","",VLOOKUP(G53,Data!$G:$BB,5,FALSE))</f>
        <v>83333</v>
      </c>
      <c r="H57" s="59">
        <f>IF(H53="Not Offered","",VLOOKUP(H53,Data!$G:$BB,5,FALSE))</f>
        <v>83333</v>
      </c>
      <c r="I57" s="60">
        <f>IF(I53="Not Offered","",VLOOKUP(I53,Data!$G:$BB,5,FALSE))</f>
        <v>50000</v>
      </c>
      <c r="J57" s="59">
        <f>IF(J53="Not Offered","",VLOOKUP(J53,Data!$G:$BB,5,FALSE))</f>
        <v>50000</v>
      </c>
      <c r="K57" s="60">
        <f>IF(K53="Not Offered","",VLOOKUP(K53,Data!$G:$BB,5,FALSE))</f>
        <v>100000</v>
      </c>
      <c r="L57" s="59">
        <f>IF(L53="Not Offered","",VLOOKUP(L53,Data!$G:$BB,5,FALSE))</f>
        <v>50000</v>
      </c>
      <c r="M57" s="60">
        <f>IF(M53="Not Offered","",VLOOKUP(M53,Data!$G:$BB,5,FALSE))</f>
        <v>150000</v>
      </c>
      <c r="N57" s="59">
        <f>IF(N53="Not Offered","",VLOOKUP(N53,Data!$G:$BB,5,FALSE))</f>
        <v>150000</v>
      </c>
    </row>
    <row r="58" spans="1:14" ht="24.95" customHeight="1" x14ac:dyDescent="0.2">
      <c r="A58" s="393" t="s">
        <v>63</v>
      </c>
      <c r="B58" s="66" t="s">
        <v>64</v>
      </c>
      <c r="C58" s="61">
        <f>IF(C53="Not Offered","",VLOOKUP(C53,Data!$G:$BB,6,FALSE))</f>
        <v>9264.2000000000007</v>
      </c>
      <c r="D58" s="67">
        <f>IF(D53="Not Offered","",VLOOKUP(D53,Data!$G:$BB,6,FALSE))</f>
        <v>10741.5</v>
      </c>
      <c r="E58" s="61">
        <f>IF(E53="Not Offered","",VLOOKUP(E53,Data!$G:$BB,6,FALSE))</f>
        <v>17148.75</v>
      </c>
      <c r="F58" s="67">
        <f>IF(F53="Not Offered","",VLOOKUP(F53,Data!$G:$BB,6,FALSE))</f>
        <v>5840.8625000000002</v>
      </c>
      <c r="G58" s="61">
        <f>IF(G53="Not Offered","",VLOOKUP(G53,Data!$G:$BB,6,FALSE))</f>
        <v>7297.4000000000005</v>
      </c>
      <c r="H58" s="67">
        <f>IF(H53="Not Offered","",VLOOKUP(H53,Data!$G:$BB,6,FALSE))</f>
        <v>12005.400000000001</v>
      </c>
      <c r="I58" s="61">
        <f>IF(I53="Not Offered","",VLOOKUP(I53,Data!$G:$BB,6,FALSE))</f>
        <v>4631</v>
      </c>
      <c r="J58" s="67">
        <f>IF(J53="Not Offered","",VLOOKUP(J53,Data!$G:$BB,6,FALSE))</f>
        <v>6529.6</v>
      </c>
      <c r="K58" s="61">
        <f>IF(K53="Not Offered","",VLOOKUP(K53,Data!$G:$BB,6,FALSE))</f>
        <v>12749</v>
      </c>
      <c r="L58" s="67">
        <f>IF(L53="Not Offered","",VLOOKUP(L53,Data!$G:$BB,6,FALSE))</f>
        <v>5817.6360000000004</v>
      </c>
      <c r="M58" s="61">
        <f>IF(M53="Not Offered","",VLOOKUP(M53,Data!$G:$BB,6,FALSE))</f>
        <v>7293.1320000000005</v>
      </c>
      <c r="N58" s="67">
        <f>IF(N53="Not Offered","",VLOOKUP(N53,Data!$G:$BB,6,FALSE))</f>
        <v>10215.612000000001</v>
      </c>
    </row>
    <row r="59" spans="1:14" ht="24.95" customHeight="1" x14ac:dyDescent="0.2">
      <c r="A59" s="396"/>
      <c r="B59" s="66" t="str">
        <f>$B$3&amp;" BW CPC"</f>
        <v>Zone 2 - Bunbury within 20km BW CPC</v>
      </c>
      <c r="C59" s="62">
        <f>IF(C53="Not Offered","",VLOOKUP(C53,Data!$G:$AL,5+2*(MATCH($B$3,Locations,0)),FALSE))</f>
        <v>9.3500000000000007E-3</v>
      </c>
      <c r="D59" s="68">
        <f>IF(D53="Not Offered","",VLOOKUP(D53,Data!$G:$AL,5+2*(MATCH($B$3,Locations,0)),FALSE))</f>
        <v>9.3500000000000007E-3</v>
      </c>
      <c r="E59" s="62">
        <f>IF(E53="Not Offered","",VLOOKUP(E53,Data!$G:$AL,5+2*(MATCH($B$3,Locations,0)),FALSE))</f>
        <v>9.9000000000000025E-3</v>
      </c>
      <c r="F59" s="68">
        <f>IF(F53="Not Offered","",VLOOKUP(F53,Data!$G:$AL,5+2*(MATCH($B$3,Locations,0)),FALSE))</f>
        <v>1.43E-2</v>
      </c>
      <c r="G59" s="62">
        <f>IF(G53="Not Offered","",VLOOKUP(G53,Data!$G:$AL,5+2*(MATCH($B$3,Locations,0)),FALSE))</f>
        <v>1.43E-2</v>
      </c>
      <c r="H59" s="68">
        <f>IF(H53="Not Offered","",VLOOKUP(H53,Data!$G:$AL,5+2*(MATCH($B$3,Locations,0)),FALSE))</f>
        <v>1.32E-2</v>
      </c>
      <c r="I59" s="62">
        <f>IF(I53="Not Offered","",VLOOKUP(I53,Data!$G:$AL,5+2*(MATCH($B$3,Locations,0)),FALSE))</f>
        <v>9.9000000000000008E-3</v>
      </c>
      <c r="J59" s="68">
        <f>IF(J53="Not Offered","",VLOOKUP(J53,Data!$G:$AL,5+2*(MATCH($B$3,Locations,0)),FALSE))</f>
        <v>9.9000000000000008E-3</v>
      </c>
      <c r="K59" s="62">
        <f>IF(K53="Not Offered","",VLOOKUP(K53,Data!$G:$AL,5+2*(MATCH($B$3,Locations,0)),FALSE))</f>
        <v>9.9000000000000008E-3</v>
      </c>
      <c r="L59" s="68">
        <f>IF(L53="Not Offered","",VLOOKUP(L53,Data!$G:$AL,5+2*(MATCH($B$3,Locations,0)),FALSE))</f>
        <v>1.243E-2</v>
      </c>
      <c r="M59" s="62">
        <f>IF(M53="Not Offered","",VLOOKUP(M53,Data!$G:$AL,5+2*(MATCH($B$3,Locations,0)),FALSE))</f>
        <v>1.3090000000000003E-2</v>
      </c>
      <c r="N59" s="68">
        <f>IF(N53="Not Offered","",VLOOKUP(N53,Data!$G:$AL,5+2*(MATCH($B$3,Locations,0)),FALSE))</f>
        <v>1.243E-2</v>
      </c>
    </row>
    <row r="60" spans="1:14" ht="24.95" customHeight="1" x14ac:dyDescent="0.2">
      <c r="A60" s="397"/>
      <c r="B60" s="66" t="str">
        <f>$B$3&amp;" Surcharge &amp; Installation"</f>
        <v>Zone 2 - Bunbury within 20km Surcharge &amp; Installation</v>
      </c>
      <c r="C60" s="61">
        <f>IF(C53="Not Offered","",IF($B$3="Zone 1 (Perth Metro)",0,VLOOKUP(C53,Data!$G:$BK,44+(MATCH($B$3,Locations,0)),FALSE)))</f>
        <v>385</v>
      </c>
      <c r="D60" s="229">
        <f>IF(D53="Not Offered","",IF($B$3="Zone 1 (Perth Metro)",0,VLOOKUP(D53,Data!$G:$BK,44+(MATCH($B$3,Locations,0)),FALSE)))</f>
        <v>385</v>
      </c>
      <c r="E60" s="235">
        <f>IF(E53="Not Offered","",IF($B$3="Zone 1 (Perth Metro)",0,VLOOKUP(E53,Data!$G:$BK,44+(MATCH($B$3,Locations,0)),FALSE)))</f>
        <v>385</v>
      </c>
      <c r="F60" s="229">
        <f>IF(F53="Not Offered","",IF($B$3="Zone 1 (Perth Metro)",0,VLOOKUP(F53,Data!$G:$BK,44+(MATCH($B$3,Locations,0)),FALSE)))</f>
        <v>1848</v>
      </c>
      <c r="G60" s="235">
        <f>IF(G53="Not Offered","",IF($B$3="Zone 1 (Perth Metro)",0,VLOOKUP(G53,Data!$G:$BK,44+(MATCH($B$3,Locations,0)),FALSE)))</f>
        <v>2112</v>
      </c>
      <c r="H60" s="229">
        <f>IF(H53="Not Offered","",IF($B$3="Zone 1 (Perth Metro)",0,VLOOKUP(H53,Data!$G:$BK,44+(MATCH($B$3,Locations,0)),FALSE)))</f>
        <v>2981</v>
      </c>
      <c r="I60" s="235">
        <f>IF(I53="Not Offered","",IF($B$3="Zone 1 (Perth Metro)",0,VLOOKUP(I53,Data!$G:$BK,44+(MATCH($B$3,Locations,0)),FALSE)))</f>
        <v>770</v>
      </c>
      <c r="J60" s="229">
        <f>IF(J53="Not Offered","",IF($B$3="Zone 1 (Perth Metro)",0,VLOOKUP(J53,Data!$G:$BK,44+(MATCH($B$3,Locations,0)),FALSE)))</f>
        <v>990</v>
      </c>
      <c r="K60" s="235">
        <f>IF(K53="Not Offered","",IF($B$3="Zone 1 (Perth Metro)",0,VLOOKUP(K53,Data!$G:$BK,44+(MATCH($B$3,Locations,0)),FALSE)))</f>
        <v>1210</v>
      </c>
      <c r="L60" s="229">
        <f>IF(L53="Not Offered","",IF($B$3="Zone 1 (Perth Metro)",0,VLOOKUP(L53,Data!$G:$BK,44+(MATCH($B$3,Locations,0)),FALSE)))</f>
        <v>1143.67</v>
      </c>
      <c r="M60" s="235">
        <f>IF(M53="Not Offered","",IF($B$3="Zone 1 (Perth Metro)",0,VLOOKUP(M53,Data!$G:$BK,44+(MATCH($B$3,Locations,0)),FALSE)))</f>
        <v>1555.2900000000002</v>
      </c>
      <c r="N60" s="229">
        <f>IF(N53="Not Offered","",IF($B$3="Zone 1 (Perth Metro)",0,VLOOKUP(N53,Data!$G:$BK,44+(MATCH($B$3,Locations,0)),FALSE)))</f>
        <v>1825.8900000000003</v>
      </c>
    </row>
    <row r="61" spans="1:14" ht="24.95" customHeight="1" x14ac:dyDescent="0.2">
      <c r="A61" s="65" t="s">
        <v>70</v>
      </c>
      <c r="B61" s="66" t="s">
        <v>71</v>
      </c>
      <c r="C61" s="14" t="str">
        <f>IF(C54="Not Offered","",IF(C56&gt;=$D$3*5,"Y","N"))</f>
        <v>Y</v>
      </c>
      <c r="D61" s="4" t="str">
        <f t="shared" ref="D61:N61" si="9">IF(D54="Not Offered","",IF(D56&gt;=$D$3*5,"Y","N"))</f>
        <v>Y</v>
      </c>
      <c r="E61" s="14" t="str">
        <f t="shared" si="9"/>
        <v>Y</v>
      </c>
      <c r="F61" s="4" t="str">
        <f t="shared" si="9"/>
        <v>Y</v>
      </c>
      <c r="G61" s="14" t="str">
        <f t="shared" si="9"/>
        <v>Y</v>
      </c>
      <c r="H61" s="4" t="str">
        <f t="shared" si="9"/>
        <v>Y</v>
      </c>
      <c r="I61" s="14" t="str">
        <f t="shared" si="9"/>
        <v>Y</v>
      </c>
      <c r="J61" s="4" t="str">
        <f t="shared" si="9"/>
        <v>Y</v>
      </c>
      <c r="K61" s="14" t="str">
        <f t="shared" si="9"/>
        <v>Y</v>
      </c>
      <c r="L61" s="4" t="str">
        <f t="shared" si="9"/>
        <v>Y</v>
      </c>
      <c r="M61" s="14" t="str">
        <f t="shared" si="9"/>
        <v>Y</v>
      </c>
      <c r="N61" s="4" t="str">
        <f t="shared" si="9"/>
        <v>Y</v>
      </c>
    </row>
    <row r="62" spans="1:14" ht="30" customHeight="1" x14ac:dyDescent="0.2">
      <c r="A62" s="393" t="s">
        <v>66</v>
      </c>
      <c r="B62" s="66" t="s">
        <v>68</v>
      </c>
      <c r="C62" s="96">
        <f>IF(OR(C53="Not Offered",C59="N/A"),"",IF(C61="Y",C58,((ROUNDUP(($D$3*5)/C56,0))*C58))+(C59*$D$3*5))</f>
        <v>13939.2</v>
      </c>
      <c r="D62" s="12">
        <f t="shared" ref="D62:N62" si="10">IF(OR(D53="Not Offered",D59="N/A"),"",IF(D61="Y",D58,((ROUNDUP(($D$3*5)/D56,0))*D58))+(D59*$D$3*5))</f>
        <v>15416.5</v>
      </c>
      <c r="E62" s="96">
        <f t="shared" si="10"/>
        <v>22098.75</v>
      </c>
      <c r="F62" s="12">
        <f t="shared" si="10"/>
        <v>12990.862499999999</v>
      </c>
      <c r="G62" s="96">
        <f t="shared" si="10"/>
        <v>14447.400000000001</v>
      </c>
      <c r="H62" s="12">
        <f t="shared" si="10"/>
        <v>18605.400000000001</v>
      </c>
      <c r="I62" s="96">
        <f t="shared" si="10"/>
        <v>9581</v>
      </c>
      <c r="J62" s="12">
        <f t="shared" si="10"/>
        <v>11479.600000000002</v>
      </c>
      <c r="K62" s="96">
        <f t="shared" si="10"/>
        <v>17699</v>
      </c>
      <c r="L62" s="12">
        <f t="shared" si="10"/>
        <v>12032.636</v>
      </c>
      <c r="M62" s="96">
        <f t="shared" si="10"/>
        <v>13838.132000000001</v>
      </c>
      <c r="N62" s="12">
        <f t="shared" si="10"/>
        <v>16430.612000000001</v>
      </c>
    </row>
    <row r="63" spans="1:14" ht="24.95" customHeight="1" x14ac:dyDescent="0.2">
      <c r="A63" s="397"/>
      <c r="B63" s="66" t="s">
        <v>67</v>
      </c>
      <c r="C63" s="97">
        <f t="shared" ref="C63:N63" si="11">IF(C62="","",IF(ISNA(RANK(C62,$A62:$N62)),"",RANK(C62,$A62:$N62,1)))</f>
        <v>6</v>
      </c>
      <c r="D63" s="69">
        <f t="shared" si="11"/>
        <v>8</v>
      </c>
      <c r="E63" s="97">
        <f t="shared" si="11"/>
        <v>12</v>
      </c>
      <c r="F63" s="69">
        <f t="shared" si="11"/>
        <v>4</v>
      </c>
      <c r="G63" s="97">
        <f t="shared" si="11"/>
        <v>7</v>
      </c>
      <c r="H63" s="69">
        <f t="shared" si="11"/>
        <v>11</v>
      </c>
      <c r="I63" s="97">
        <f t="shared" si="11"/>
        <v>1</v>
      </c>
      <c r="J63" s="69">
        <f t="shared" si="11"/>
        <v>2</v>
      </c>
      <c r="K63" s="97">
        <f t="shared" si="11"/>
        <v>10</v>
      </c>
      <c r="L63" s="69">
        <f t="shared" si="11"/>
        <v>3</v>
      </c>
      <c r="M63" s="97">
        <f t="shared" si="11"/>
        <v>5</v>
      </c>
      <c r="N63" s="69">
        <f t="shared" si="11"/>
        <v>9</v>
      </c>
    </row>
  </sheetData>
  <sheetProtection formatCells="0" formatColumns="0" formatRows="0" sort="0" autoFilter="0"/>
  <mergeCells count="40">
    <mergeCell ref="A53:A57"/>
    <mergeCell ref="A58:A60"/>
    <mergeCell ref="A62:A63"/>
    <mergeCell ref="A43:A45"/>
    <mergeCell ref="A2:F2"/>
    <mergeCell ref="A35:N35"/>
    <mergeCell ref="A50:N50"/>
    <mergeCell ref="A38:A42"/>
    <mergeCell ref="A47:A48"/>
    <mergeCell ref="B36:B37"/>
    <mergeCell ref="C36:E36"/>
    <mergeCell ref="F36:H36"/>
    <mergeCell ref="I36:K36"/>
    <mergeCell ref="A13:A15"/>
    <mergeCell ref="A28:A30"/>
    <mergeCell ref="L51:N51"/>
    <mergeCell ref="A1:O1"/>
    <mergeCell ref="M3:O3"/>
    <mergeCell ref="L36:N36"/>
    <mergeCell ref="A21:A22"/>
    <mergeCell ref="B21:B22"/>
    <mergeCell ref="C21:D21"/>
    <mergeCell ref="E21:F21"/>
    <mergeCell ref="A23:A27"/>
    <mergeCell ref="H2:L2"/>
    <mergeCell ref="A5:F5"/>
    <mergeCell ref="A20:J20"/>
    <mergeCell ref="A8:A12"/>
    <mergeCell ref="A17:A18"/>
    <mergeCell ref="A6:A7"/>
    <mergeCell ref="B6:B7"/>
    <mergeCell ref="G21:H21"/>
    <mergeCell ref="I21:J21"/>
    <mergeCell ref="A36:A37"/>
    <mergeCell ref="A51:A52"/>
    <mergeCell ref="B51:B52"/>
    <mergeCell ref="C51:E51"/>
    <mergeCell ref="F51:H51"/>
    <mergeCell ref="I51:K51"/>
    <mergeCell ref="A32:A33"/>
  </mergeCells>
  <conditionalFormatting sqref="C23:C29 C31:C33">
    <cfRule type="expression" dxfId="120" priority="1">
      <formula>C$23="Not Offered"</formula>
    </cfRule>
  </conditionalFormatting>
  <conditionalFormatting sqref="C16:F16">
    <cfRule type="cellIs" dxfId="119" priority="25" operator="equal">
      <formula>"N"</formula>
    </cfRule>
  </conditionalFormatting>
  <conditionalFormatting sqref="C18:F18">
    <cfRule type="cellIs" dxfId="118" priority="334" operator="equal">
      <formula>1</formula>
    </cfRule>
    <cfRule type="cellIs" dxfId="117" priority="335" operator="between">
      <formula>2</formula>
      <formula>COUNT($C18:$F18)/4</formula>
    </cfRule>
    <cfRule type="cellIs" dxfId="116" priority="336" operator="equal">
      <formula>MAX($C18:$F18)</formula>
    </cfRule>
    <cfRule type="cellIs" dxfId="115" priority="337" operator="between">
      <formula>((COUNT($C18:$F18)/4)*3)+1</formula>
      <formula>MAX($C18:$F18)-1</formula>
    </cfRule>
  </conditionalFormatting>
  <conditionalFormatting sqref="C33:J33 C48:N48 C63:N63">
    <cfRule type="cellIs" dxfId="114" priority="381" operator="equal">
      <formula>MAX($C33:$O33)</formula>
    </cfRule>
    <cfRule type="cellIs" dxfId="113" priority="382" operator="between">
      <formula>((COUNT($C33:$O33)/4)*3)+1</formula>
      <formula>MAX($C33:$J33)-1</formula>
    </cfRule>
    <cfRule type="cellIs" dxfId="112" priority="383" operator="between">
      <formula>2</formula>
      <formula>COUNT($C33:$O33)/4</formula>
    </cfRule>
    <cfRule type="cellIs" dxfId="111" priority="384" operator="equal">
      <formula>1</formula>
    </cfRule>
  </conditionalFormatting>
  <conditionalFormatting sqref="C31:O31">
    <cfRule type="cellIs" dxfId="110" priority="30" operator="equal">
      <formula>"N"</formula>
    </cfRule>
  </conditionalFormatting>
  <conditionalFormatting sqref="C46:O46">
    <cfRule type="cellIs" dxfId="109" priority="35" operator="equal">
      <formula>"N"</formula>
    </cfRule>
  </conditionalFormatting>
  <conditionalFormatting sqref="C61:O61">
    <cfRule type="cellIs" dxfId="108" priority="40" operator="equal">
      <formula>"N"</formula>
    </cfRule>
  </conditionalFormatting>
  <dataValidations count="2">
    <dataValidation type="whole" allowBlank="1" showInputMessage="1" showErrorMessage="1" sqref="D3" xr:uid="{00000000-0002-0000-0500-000000000000}">
      <formula1>0</formula1>
      <formula2>5000000</formula2>
    </dataValidation>
    <dataValidation type="list" allowBlank="1" showInputMessage="1" showErrorMessage="1" sqref="B3" xr:uid="{00000000-0002-0000-0500-000001000000}">
      <formula1>Locations</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0" tint="-0.249977111117893"/>
  </sheetPr>
  <dimension ref="A1:M123"/>
  <sheetViews>
    <sheetView topLeftCell="A6" zoomScale="80" zoomScaleNormal="80" workbookViewId="0">
      <selection activeCell="H26" sqref="H26"/>
    </sheetView>
  </sheetViews>
  <sheetFormatPr defaultColWidth="9.140625" defaultRowHeight="12.75" x14ac:dyDescent="0.2"/>
  <cols>
    <col min="1" max="1" width="25.42578125" style="1" customWidth="1"/>
    <col min="2" max="2" width="12.85546875" style="1" customWidth="1"/>
    <col min="3" max="3" width="49.28515625" style="1" customWidth="1"/>
    <col min="4" max="4" width="11.42578125" style="1" customWidth="1"/>
    <col min="5" max="8" width="10.7109375" style="1" customWidth="1"/>
    <col min="9" max="13" width="12.7109375" style="1" customWidth="1"/>
    <col min="14" max="16384" width="9.140625" style="1"/>
  </cols>
  <sheetData>
    <row r="1" spans="1:13" ht="20.100000000000001" customHeight="1" x14ac:dyDescent="0.2">
      <c r="A1" s="416" t="s">
        <v>1691</v>
      </c>
      <c r="B1" s="417"/>
      <c r="C1" s="417"/>
      <c r="D1" s="417"/>
      <c r="E1" s="417"/>
      <c r="F1" s="417"/>
      <c r="G1" s="417"/>
      <c r="H1" s="417"/>
      <c r="I1" s="417"/>
      <c r="J1" s="417"/>
      <c r="K1" s="417"/>
      <c r="L1" s="417"/>
      <c r="M1" s="429"/>
    </row>
    <row r="2" spans="1:13" ht="17.45" customHeight="1" x14ac:dyDescent="0.2">
      <c r="A2" s="379" t="s">
        <v>1763</v>
      </c>
      <c r="B2" s="380"/>
      <c r="C2" s="380"/>
      <c r="D2" s="380"/>
      <c r="E2" s="380"/>
      <c r="F2" s="380"/>
      <c r="G2" s="380"/>
      <c r="H2" s="380"/>
      <c r="I2" s="380"/>
      <c r="J2" s="380"/>
      <c r="K2" s="380"/>
      <c r="L2" s="381"/>
      <c r="M2" s="382"/>
    </row>
    <row r="3" spans="1:13" ht="17.45" customHeight="1" x14ac:dyDescent="0.2">
      <c r="A3" s="419" t="s">
        <v>1805</v>
      </c>
      <c r="B3" s="420"/>
      <c r="C3" s="420"/>
      <c r="D3" s="420"/>
      <c r="E3" s="420"/>
      <c r="F3" s="420"/>
      <c r="G3" s="420"/>
      <c r="H3" s="420"/>
      <c r="I3" s="420"/>
      <c r="J3" s="420"/>
      <c r="K3" s="420"/>
      <c r="L3" s="421"/>
      <c r="M3" s="430"/>
    </row>
    <row r="4" spans="1:13" ht="9.9499999999999993" customHeight="1" x14ac:dyDescent="0.2">
      <c r="A4" s="175"/>
      <c r="B4" s="175"/>
      <c r="C4" s="175"/>
      <c r="D4" s="175"/>
      <c r="E4" s="175"/>
      <c r="F4" s="175"/>
      <c r="G4" s="175"/>
      <c r="H4" s="175"/>
      <c r="I4" s="175"/>
      <c r="J4" s="175"/>
      <c r="K4" s="175"/>
      <c r="L4" s="176"/>
      <c r="M4" s="176"/>
    </row>
    <row r="5" spans="1:13" ht="28.5" customHeight="1" x14ac:dyDescent="0.2">
      <c r="A5" s="70" t="s">
        <v>42</v>
      </c>
      <c r="B5" s="70" t="s">
        <v>1253</v>
      </c>
      <c r="C5" s="142" t="s">
        <v>1254</v>
      </c>
      <c r="D5" s="70" t="s">
        <v>1368</v>
      </c>
      <c r="E5" s="70" t="s">
        <v>34</v>
      </c>
      <c r="F5" s="70" t="s">
        <v>73</v>
      </c>
      <c r="G5" s="70" t="s">
        <v>74</v>
      </c>
      <c r="H5" s="70" t="s">
        <v>404</v>
      </c>
      <c r="I5" s="70" t="s">
        <v>405</v>
      </c>
      <c r="J5" s="70" t="s">
        <v>406</v>
      </c>
      <c r="K5" s="70" t="s">
        <v>408</v>
      </c>
      <c r="L5" s="70" t="s">
        <v>409</v>
      </c>
      <c r="M5" s="70" t="s">
        <v>410</v>
      </c>
    </row>
    <row r="6" spans="1:13" ht="28.5" customHeight="1" x14ac:dyDescent="0.2">
      <c r="A6" s="123" t="s">
        <v>2013</v>
      </c>
      <c r="B6" s="123" t="s">
        <v>0</v>
      </c>
      <c r="C6" s="124" t="s">
        <v>1631</v>
      </c>
      <c r="D6" s="123" t="s">
        <v>0</v>
      </c>
      <c r="E6" s="122" t="str">
        <f ca="1">INDIRECT("Data!$H"&amp;COLUMN()+53)</f>
        <v>ApeosPort 2560</v>
      </c>
      <c r="F6" s="122" t="str">
        <f t="shared" ref="F6:M6" ca="1" si="0">INDIRECT("Data!$H"&amp;COLUMN()+53)</f>
        <v>ApeosPort 3060</v>
      </c>
      <c r="G6" s="122" t="str">
        <f t="shared" ca="1" si="0"/>
        <v>ApeosPort 3560</v>
      </c>
      <c r="H6" s="122" t="str">
        <f t="shared" ca="1" si="0"/>
        <v>DocuPrint M385z</v>
      </c>
      <c r="I6" s="122" t="str">
        <f t="shared" ca="1" si="0"/>
        <v>ApeosPort 4570</v>
      </c>
      <c r="J6" s="122" t="str">
        <f t="shared" ca="1" si="0"/>
        <v>ApeosPort 5570</v>
      </c>
      <c r="K6" s="122" t="str">
        <f t="shared" ca="1" si="0"/>
        <v>ApeosPort-V 6080</v>
      </c>
      <c r="L6" s="122" t="str">
        <f t="shared" ca="1" si="0"/>
        <v>ApeosPort-V 7080</v>
      </c>
      <c r="M6" s="122" t="str">
        <f t="shared" ca="1" si="0"/>
        <v>B9125</v>
      </c>
    </row>
    <row r="7" spans="1:13" ht="35.25" customHeight="1" x14ac:dyDescent="0.2">
      <c r="A7" s="130" t="s">
        <v>2013</v>
      </c>
      <c r="B7" s="132" t="s">
        <v>2365</v>
      </c>
      <c r="C7" s="134" t="s">
        <v>2384</v>
      </c>
      <c r="D7" s="131">
        <v>2561.9</v>
      </c>
      <c r="E7" s="121" t="s">
        <v>3</v>
      </c>
      <c r="F7" s="152" t="s">
        <v>3</v>
      </c>
      <c r="G7" s="121" t="s">
        <v>3</v>
      </c>
      <c r="H7" s="152" t="s">
        <v>3</v>
      </c>
      <c r="I7" s="121" t="s">
        <v>2</v>
      </c>
      <c r="J7" s="152" t="s">
        <v>2</v>
      </c>
      <c r="K7" s="121" t="s">
        <v>3</v>
      </c>
      <c r="L7" s="152" t="s">
        <v>3</v>
      </c>
      <c r="M7" s="121" t="s">
        <v>3</v>
      </c>
    </row>
    <row r="8" spans="1:13" ht="20.100000000000001" customHeight="1" x14ac:dyDescent="0.2">
      <c r="A8" s="130" t="s">
        <v>2013</v>
      </c>
      <c r="B8" s="132" t="s">
        <v>1389</v>
      </c>
      <c r="C8" s="134" t="s">
        <v>1404</v>
      </c>
      <c r="D8" s="131">
        <v>0</v>
      </c>
      <c r="E8" s="121" t="s">
        <v>2</v>
      </c>
      <c r="F8" s="152" t="s">
        <v>2</v>
      </c>
      <c r="G8" s="121" t="s">
        <v>2</v>
      </c>
      <c r="H8" s="152" t="s">
        <v>2</v>
      </c>
      <c r="I8" s="121" t="s">
        <v>2</v>
      </c>
      <c r="J8" s="152" t="s">
        <v>2</v>
      </c>
      <c r="K8" s="121" t="s">
        <v>2</v>
      </c>
      <c r="L8" s="152" t="s">
        <v>2</v>
      </c>
      <c r="M8" s="121" t="s">
        <v>2</v>
      </c>
    </row>
    <row r="9" spans="1:13" ht="20.100000000000001" customHeight="1" x14ac:dyDescent="0.2">
      <c r="A9" s="130" t="s">
        <v>2013</v>
      </c>
      <c r="B9" s="132" t="s">
        <v>1390</v>
      </c>
      <c r="C9" s="134" t="s">
        <v>1635</v>
      </c>
      <c r="D9" s="131">
        <v>0</v>
      </c>
      <c r="E9" s="121" t="s">
        <v>2</v>
      </c>
      <c r="F9" s="152" t="s">
        <v>2</v>
      </c>
      <c r="G9" s="121" t="s">
        <v>2</v>
      </c>
      <c r="H9" s="152" t="s">
        <v>3</v>
      </c>
      <c r="I9" s="121" t="s">
        <v>2</v>
      </c>
      <c r="J9" s="152" t="s">
        <v>2</v>
      </c>
      <c r="K9" s="121" t="s">
        <v>2</v>
      </c>
      <c r="L9" s="152" t="s">
        <v>2</v>
      </c>
      <c r="M9" s="121" t="s">
        <v>2</v>
      </c>
    </row>
    <row r="10" spans="1:13" ht="20.100000000000001" customHeight="1" x14ac:dyDescent="0.2">
      <c r="A10" s="130" t="s">
        <v>2013</v>
      </c>
      <c r="B10" s="132" t="s">
        <v>2108</v>
      </c>
      <c r="C10" s="134" t="s">
        <v>1402</v>
      </c>
      <c r="D10" s="131">
        <v>440</v>
      </c>
      <c r="E10" s="121" t="s">
        <v>2</v>
      </c>
      <c r="F10" s="152" t="s">
        <v>2</v>
      </c>
      <c r="G10" s="121" t="s">
        <v>2</v>
      </c>
      <c r="H10" s="152" t="s">
        <v>3</v>
      </c>
      <c r="I10" s="121" t="s">
        <v>2</v>
      </c>
      <c r="J10" s="152" t="s">
        <v>2</v>
      </c>
      <c r="K10" s="121" t="s">
        <v>3</v>
      </c>
      <c r="L10" s="152" t="s">
        <v>3</v>
      </c>
      <c r="M10" s="121" t="s">
        <v>3</v>
      </c>
    </row>
    <row r="11" spans="1:13" ht="30" customHeight="1" x14ac:dyDescent="0.2">
      <c r="A11" s="130" t="s">
        <v>2013</v>
      </c>
      <c r="B11" s="132" t="s">
        <v>2363</v>
      </c>
      <c r="C11" s="134" t="s">
        <v>2364</v>
      </c>
      <c r="D11" s="131">
        <v>1050.5</v>
      </c>
      <c r="E11" s="121" t="s">
        <v>2</v>
      </c>
      <c r="F11" s="152" t="s">
        <v>2</v>
      </c>
      <c r="G11" s="121" t="s">
        <v>2</v>
      </c>
      <c r="H11" s="152" t="s">
        <v>3</v>
      </c>
      <c r="I11" s="121" t="s">
        <v>2</v>
      </c>
      <c r="J11" s="152" t="s">
        <v>2</v>
      </c>
      <c r="K11" s="121" t="s">
        <v>3</v>
      </c>
      <c r="L11" s="152" t="s">
        <v>3</v>
      </c>
      <c r="M11" s="121" t="s">
        <v>3</v>
      </c>
    </row>
    <row r="12" spans="1:13" ht="30" customHeight="1" x14ac:dyDescent="0.2">
      <c r="A12" s="130" t="s">
        <v>2013</v>
      </c>
      <c r="B12" s="132" t="s">
        <v>2385</v>
      </c>
      <c r="C12" s="134" t="s">
        <v>2386</v>
      </c>
      <c r="D12" s="131">
        <v>3830.2</v>
      </c>
      <c r="E12" s="121" t="s">
        <v>3</v>
      </c>
      <c r="F12" s="152" t="s">
        <v>3</v>
      </c>
      <c r="G12" s="121" t="s">
        <v>3</v>
      </c>
      <c r="H12" s="152" t="s">
        <v>3</v>
      </c>
      <c r="I12" s="121" t="s">
        <v>3</v>
      </c>
      <c r="J12" s="152" t="s">
        <v>3</v>
      </c>
      <c r="K12" s="121" t="s">
        <v>2</v>
      </c>
      <c r="L12" s="152" t="s">
        <v>2</v>
      </c>
      <c r="M12" s="121" t="s">
        <v>3</v>
      </c>
    </row>
    <row r="13" spans="1:13" ht="24.75" customHeight="1" x14ac:dyDescent="0.2">
      <c r="A13" s="130" t="s">
        <v>2013</v>
      </c>
      <c r="B13" s="132" t="s">
        <v>1632</v>
      </c>
      <c r="C13" s="134" t="s">
        <v>1637</v>
      </c>
      <c r="D13" s="131">
        <v>2849.44</v>
      </c>
      <c r="E13" s="121" t="s">
        <v>3</v>
      </c>
      <c r="F13" s="152" t="s">
        <v>3</v>
      </c>
      <c r="G13" s="121" t="s">
        <v>3</v>
      </c>
      <c r="H13" s="152" t="s">
        <v>3</v>
      </c>
      <c r="I13" s="121" t="s">
        <v>3</v>
      </c>
      <c r="J13" s="152" t="s">
        <v>3</v>
      </c>
      <c r="K13" s="121" t="s">
        <v>3</v>
      </c>
      <c r="L13" s="152" t="s">
        <v>3</v>
      </c>
      <c r="M13" s="121" t="s">
        <v>2</v>
      </c>
    </row>
    <row r="14" spans="1:13" ht="20.100000000000001" customHeight="1" x14ac:dyDescent="0.2">
      <c r="A14" s="130" t="s">
        <v>2013</v>
      </c>
      <c r="B14" s="132" t="s">
        <v>1400</v>
      </c>
      <c r="C14" s="134" t="s">
        <v>1394</v>
      </c>
      <c r="D14" s="131">
        <v>114</v>
      </c>
      <c r="E14" s="121" t="s">
        <v>3</v>
      </c>
      <c r="F14" s="152" t="s">
        <v>3</v>
      </c>
      <c r="G14" s="121" t="s">
        <v>3</v>
      </c>
      <c r="H14" s="152" t="s">
        <v>2</v>
      </c>
      <c r="I14" s="121" t="s">
        <v>2</v>
      </c>
      <c r="J14" s="152" t="s">
        <v>3</v>
      </c>
      <c r="K14" s="121" t="s">
        <v>3</v>
      </c>
      <c r="L14" s="152" t="s">
        <v>3</v>
      </c>
      <c r="M14" s="121" t="s">
        <v>3</v>
      </c>
    </row>
    <row r="15" spans="1:13" ht="20.100000000000001" customHeight="1" x14ac:dyDescent="0.2">
      <c r="A15" s="130" t="s">
        <v>2013</v>
      </c>
      <c r="B15" s="132" t="s">
        <v>2288</v>
      </c>
      <c r="C15" s="134" t="s">
        <v>1396</v>
      </c>
      <c r="D15" s="131">
        <v>528</v>
      </c>
      <c r="E15" s="121" t="s">
        <v>2</v>
      </c>
      <c r="F15" s="152" t="s">
        <v>2</v>
      </c>
      <c r="G15" s="121" t="s">
        <v>2</v>
      </c>
      <c r="H15" s="152" t="s">
        <v>3</v>
      </c>
      <c r="I15" s="121" t="s">
        <v>3</v>
      </c>
      <c r="J15" s="152" t="s">
        <v>3</v>
      </c>
      <c r="K15" s="121" t="s">
        <v>3</v>
      </c>
      <c r="L15" s="152" t="s">
        <v>3</v>
      </c>
      <c r="M15" s="121" t="s">
        <v>3</v>
      </c>
    </row>
    <row r="16" spans="1:13" ht="20.100000000000001" customHeight="1" x14ac:dyDescent="0.2">
      <c r="A16" s="130" t="s">
        <v>2013</v>
      </c>
      <c r="B16" s="132" t="s">
        <v>2289</v>
      </c>
      <c r="C16" s="134" t="s">
        <v>1395</v>
      </c>
      <c r="D16" s="131">
        <v>473</v>
      </c>
      <c r="E16" s="121" t="s">
        <v>2</v>
      </c>
      <c r="F16" s="152" t="s">
        <v>2</v>
      </c>
      <c r="G16" s="121" t="s">
        <v>2</v>
      </c>
      <c r="H16" s="152" t="s">
        <v>3</v>
      </c>
      <c r="I16" s="121" t="s">
        <v>3</v>
      </c>
      <c r="J16" s="152" t="s">
        <v>3</v>
      </c>
      <c r="K16" s="121" t="s">
        <v>3</v>
      </c>
      <c r="L16" s="152" t="s">
        <v>3</v>
      </c>
      <c r="M16" s="121" t="s">
        <v>3</v>
      </c>
    </row>
    <row r="17" spans="1:13" ht="20.100000000000001" customHeight="1" x14ac:dyDescent="0.2">
      <c r="A17" s="130" t="s">
        <v>2013</v>
      </c>
      <c r="B17" s="132" t="s">
        <v>1948</v>
      </c>
      <c r="C17" s="134" t="s">
        <v>1396</v>
      </c>
      <c r="D17" s="131">
        <v>528</v>
      </c>
      <c r="E17" s="121" t="s">
        <v>2</v>
      </c>
      <c r="F17" s="152" t="s">
        <v>2</v>
      </c>
      <c r="G17" s="121" t="s">
        <v>2</v>
      </c>
      <c r="H17" s="152" t="s">
        <v>3</v>
      </c>
      <c r="I17" s="121" t="s">
        <v>3</v>
      </c>
      <c r="J17" s="152" t="s">
        <v>3</v>
      </c>
      <c r="K17" s="121" t="s">
        <v>3</v>
      </c>
      <c r="L17" s="152" t="s">
        <v>3</v>
      </c>
      <c r="M17" s="121" t="s">
        <v>3</v>
      </c>
    </row>
    <row r="18" spans="1:13" ht="29.25" customHeight="1" x14ac:dyDescent="0.2">
      <c r="A18" s="130" t="s">
        <v>2013</v>
      </c>
      <c r="B18" s="132" t="s">
        <v>1949</v>
      </c>
      <c r="C18" s="134" t="s">
        <v>1397</v>
      </c>
      <c r="D18" s="131">
        <v>446.6</v>
      </c>
      <c r="E18" s="121" t="s">
        <v>3</v>
      </c>
      <c r="F18" s="152" t="s">
        <v>3</v>
      </c>
      <c r="G18" s="121" t="s">
        <v>3</v>
      </c>
      <c r="H18" s="152" t="s">
        <v>3</v>
      </c>
      <c r="I18" s="121" t="s">
        <v>2</v>
      </c>
      <c r="J18" s="152" t="s">
        <v>2</v>
      </c>
      <c r="K18" s="121" t="s">
        <v>3</v>
      </c>
      <c r="L18" s="152" t="s">
        <v>3</v>
      </c>
      <c r="M18" s="121" t="s">
        <v>3</v>
      </c>
    </row>
    <row r="19" spans="1:13" ht="30" customHeight="1" x14ac:dyDescent="0.2">
      <c r="A19" s="130" t="s">
        <v>2013</v>
      </c>
      <c r="B19" s="132" t="s">
        <v>1634</v>
      </c>
      <c r="C19" s="134" t="s">
        <v>1397</v>
      </c>
      <c r="D19" s="131">
        <v>684</v>
      </c>
      <c r="E19" s="121" t="s">
        <v>3</v>
      </c>
      <c r="F19" s="152" t="s">
        <v>3</v>
      </c>
      <c r="G19" s="121" t="s">
        <v>3</v>
      </c>
      <c r="H19" s="152" t="s">
        <v>3</v>
      </c>
      <c r="I19" s="121" t="s">
        <v>3</v>
      </c>
      <c r="J19" s="152" t="s">
        <v>3</v>
      </c>
      <c r="K19" s="121" t="s">
        <v>2</v>
      </c>
      <c r="L19" s="152" t="s">
        <v>2</v>
      </c>
      <c r="M19" s="121" t="s">
        <v>3</v>
      </c>
    </row>
    <row r="20" spans="1:13" ht="20.100000000000001" customHeight="1" x14ac:dyDescent="0.2">
      <c r="A20" s="130" t="s">
        <v>2013</v>
      </c>
      <c r="B20" s="132" t="s">
        <v>2387</v>
      </c>
      <c r="C20" s="134" t="s">
        <v>1398</v>
      </c>
      <c r="D20" s="131">
        <v>510.4</v>
      </c>
      <c r="E20" s="121" t="s">
        <v>3</v>
      </c>
      <c r="F20" s="152" t="s">
        <v>3</v>
      </c>
      <c r="G20" s="121" t="s">
        <v>3</v>
      </c>
      <c r="H20" s="152" t="s">
        <v>3</v>
      </c>
      <c r="I20" s="121" t="s">
        <v>3</v>
      </c>
      <c r="J20" s="152" t="s">
        <v>3</v>
      </c>
      <c r="K20" s="121" t="s">
        <v>2</v>
      </c>
      <c r="L20" s="152" t="s">
        <v>2</v>
      </c>
      <c r="M20" s="121" t="s">
        <v>3</v>
      </c>
    </row>
    <row r="21" spans="1:13" ht="20.100000000000001" customHeight="1" x14ac:dyDescent="0.2">
      <c r="A21" s="130" t="s">
        <v>2013</v>
      </c>
      <c r="B21" s="132" t="s">
        <v>2377</v>
      </c>
      <c r="C21" s="134" t="s">
        <v>1398</v>
      </c>
      <c r="D21" s="131">
        <v>440</v>
      </c>
      <c r="E21" s="121" t="s">
        <v>3</v>
      </c>
      <c r="F21" s="152" t="s">
        <v>3</v>
      </c>
      <c r="G21" s="121" t="s">
        <v>3</v>
      </c>
      <c r="H21" s="152" t="s">
        <v>3</v>
      </c>
      <c r="I21" s="121" t="s">
        <v>2</v>
      </c>
      <c r="J21" s="152" t="s">
        <v>2</v>
      </c>
      <c r="K21" s="121" t="s">
        <v>3</v>
      </c>
      <c r="L21" s="152" t="s">
        <v>3</v>
      </c>
      <c r="M21" s="121" t="s">
        <v>3</v>
      </c>
    </row>
    <row r="22" spans="1:13" ht="20.100000000000001" customHeight="1" x14ac:dyDescent="0.2">
      <c r="A22" s="130" t="s">
        <v>2013</v>
      </c>
      <c r="B22" s="132" t="s">
        <v>2388</v>
      </c>
      <c r="C22" s="134" t="s">
        <v>1398</v>
      </c>
      <c r="D22" s="131">
        <v>441.1</v>
      </c>
      <c r="E22" s="121" t="s">
        <v>2</v>
      </c>
      <c r="F22" s="152" t="s">
        <v>2</v>
      </c>
      <c r="G22" s="121" t="s">
        <v>2</v>
      </c>
      <c r="H22" s="152" t="s">
        <v>3</v>
      </c>
      <c r="I22" s="121" t="s">
        <v>3</v>
      </c>
      <c r="J22" s="152" t="s">
        <v>3</v>
      </c>
      <c r="K22" s="121" t="s">
        <v>3</v>
      </c>
      <c r="L22" s="152" t="s">
        <v>3</v>
      </c>
      <c r="M22" s="121" t="s">
        <v>3</v>
      </c>
    </row>
    <row r="23" spans="1:13" ht="20.100000000000001" customHeight="1" x14ac:dyDescent="0.2">
      <c r="A23" s="130" t="s">
        <v>2013</v>
      </c>
      <c r="B23" s="132" t="s">
        <v>2382</v>
      </c>
      <c r="C23" s="134" t="s">
        <v>1399</v>
      </c>
      <c r="D23" s="131">
        <v>93.5</v>
      </c>
      <c r="E23" s="121" t="s">
        <v>3</v>
      </c>
      <c r="F23" s="152" t="s">
        <v>3</v>
      </c>
      <c r="G23" s="121" t="s">
        <v>3</v>
      </c>
      <c r="H23" s="152" t="s">
        <v>3</v>
      </c>
      <c r="I23" s="121" t="s">
        <v>2</v>
      </c>
      <c r="J23" s="152" t="s">
        <v>2</v>
      </c>
      <c r="K23" s="121" t="s">
        <v>3</v>
      </c>
      <c r="L23" s="152" t="s">
        <v>3</v>
      </c>
      <c r="M23" s="121" t="s">
        <v>3</v>
      </c>
    </row>
    <row r="24" spans="1:13" ht="30" customHeight="1" x14ac:dyDescent="0.2">
      <c r="A24" s="123" t="s">
        <v>10</v>
      </c>
      <c r="B24" s="123" t="s">
        <v>0</v>
      </c>
      <c r="C24" s="143" t="s">
        <v>906</v>
      </c>
      <c r="D24" s="123" t="s">
        <v>0</v>
      </c>
      <c r="E24" s="122" t="str">
        <f ca="1">INDIRECT("Data!$H"&amp;COLUMN()+62)</f>
        <v>bizhub 227</v>
      </c>
      <c r="F24" s="122" t="str">
        <f t="shared" ref="F24:M24" ca="1" si="1">INDIRECT("Data!$H"&amp;COLUMN()+62)</f>
        <v>bizhub 300i</v>
      </c>
      <c r="G24" s="122" t="str">
        <f t="shared" ca="1" si="1"/>
        <v>bizhub 360i</v>
      </c>
      <c r="H24" s="122" t="str">
        <f t="shared" ca="1" si="1"/>
        <v>bizhub 4051i</v>
      </c>
      <c r="I24" s="122" t="str">
        <f t="shared" ca="1" si="1"/>
        <v>bizhub 450i</v>
      </c>
      <c r="J24" s="122" t="str">
        <f t="shared" ca="1" si="1"/>
        <v>bizhub 550i</v>
      </c>
      <c r="K24" s="122" t="str">
        <f t="shared" ca="1" si="1"/>
        <v>bizhub 650i</v>
      </c>
      <c r="L24" s="122" t="str">
        <f t="shared" ca="1" si="1"/>
        <v>bizhub 750i</v>
      </c>
      <c r="M24" s="122" t="str">
        <f t="shared" ca="1" si="1"/>
        <v>bizhub 958</v>
      </c>
    </row>
    <row r="25" spans="1:13" ht="20.100000000000001" customHeight="1" x14ac:dyDescent="0.2">
      <c r="A25" s="130" t="s">
        <v>10</v>
      </c>
      <c r="B25" s="132" t="s">
        <v>1609</v>
      </c>
      <c r="C25" s="135" t="s">
        <v>1621</v>
      </c>
      <c r="D25" s="285">
        <f>[1]Sheet1!C127*1.07</f>
        <v>94.160000000000011</v>
      </c>
      <c r="E25" s="121" t="s">
        <v>3</v>
      </c>
      <c r="F25" s="152" t="s">
        <v>3</v>
      </c>
      <c r="G25" s="121" t="s">
        <v>3</v>
      </c>
      <c r="H25" s="152" t="s">
        <v>3</v>
      </c>
      <c r="I25" s="121" t="s">
        <v>3</v>
      </c>
      <c r="J25" s="152" t="s">
        <v>3</v>
      </c>
      <c r="K25" s="121" t="s">
        <v>3</v>
      </c>
      <c r="L25" s="152" t="s">
        <v>3</v>
      </c>
      <c r="M25" s="121" t="s">
        <v>3</v>
      </c>
    </row>
    <row r="26" spans="1:13" ht="20.100000000000001" customHeight="1" x14ac:dyDescent="0.2">
      <c r="A26" s="130" t="s">
        <v>10</v>
      </c>
      <c r="B26" s="132" t="s">
        <v>2453</v>
      </c>
      <c r="C26" s="134" t="s">
        <v>2454</v>
      </c>
      <c r="D26" s="285">
        <f>[1]Sheet1!C129*1.07</f>
        <v>118.87700000000001</v>
      </c>
      <c r="E26" s="121" t="s">
        <v>3</v>
      </c>
      <c r="F26" s="152" t="s">
        <v>3</v>
      </c>
      <c r="G26" s="121" t="s">
        <v>3</v>
      </c>
      <c r="H26" s="152" t="s">
        <v>2</v>
      </c>
      <c r="I26" s="121" t="s">
        <v>3</v>
      </c>
      <c r="J26" s="152" t="s">
        <v>3</v>
      </c>
      <c r="K26" s="121" t="s">
        <v>3</v>
      </c>
      <c r="L26" s="152" t="s">
        <v>3</v>
      </c>
      <c r="M26" s="121" t="s">
        <v>3</v>
      </c>
    </row>
    <row r="27" spans="1:13" ht="20.100000000000001" customHeight="1" x14ac:dyDescent="0.2">
      <c r="A27" s="130" t="s">
        <v>10</v>
      </c>
      <c r="B27" s="132" t="s">
        <v>1612</v>
      </c>
      <c r="C27" s="134" t="s">
        <v>1622</v>
      </c>
      <c r="D27" s="285">
        <f>[1]Sheet1!C130*1.07</f>
        <v>570.25650000000007</v>
      </c>
      <c r="E27" s="121" t="s">
        <v>2</v>
      </c>
      <c r="F27" s="152" t="s">
        <v>3</v>
      </c>
      <c r="G27" s="121" t="s">
        <v>3</v>
      </c>
      <c r="H27" s="152" t="s">
        <v>3</v>
      </c>
      <c r="I27" s="121" t="s">
        <v>3</v>
      </c>
      <c r="J27" s="152" t="s">
        <v>3</v>
      </c>
      <c r="K27" s="121" t="s">
        <v>3</v>
      </c>
      <c r="L27" s="152" t="s">
        <v>3</v>
      </c>
      <c r="M27" s="121" t="s">
        <v>3</v>
      </c>
    </row>
    <row r="28" spans="1:13" ht="20.100000000000001" customHeight="1" x14ac:dyDescent="0.2">
      <c r="A28" s="130" t="s">
        <v>10</v>
      </c>
      <c r="B28" s="132" t="s">
        <v>1613</v>
      </c>
      <c r="C28" s="134" t="s">
        <v>1623</v>
      </c>
      <c r="D28" s="285">
        <f>[1]Sheet1!C131*1.07</f>
        <v>570.25650000000007</v>
      </c>
      <c r="E28" s="121" t="s">
        <v>2</v>
      </c>
      <c r="F28" s="152" t="s">
        <v>3</v>
      </c>
      <c r="G28" s="121" t="s">
        <v>3</v>
      </c>
      <c r="H28" s="152" t="s">
        <v>3</v>
      </c>
      <c r="I28" s="121" t="s">
        <v>3</v>
      </c>
      <c r="J28" s="152" t="s">
        <v>3</v>
      </c>
      <c r="K28" s="121" t="s">
        <v>3</v>
      </c>
      <c r="L28" s="152" t="s">
        <v>3</v>
      </c>
      <c r="M28" s="121" t="s">
        <v>3</v>
      </c>
    </row>
    <row r="29" spans="1:13" ht="20.100000000000001" customHeight="1" x14ac:dyDescent="0.2">
      <c r="A29" s="130" t="s">
        <v>10</v>
      </c>
      <c r="B29" s="132" t="s">
        <v>1614</v>
      </c>
      <c r="C29" s="134" t="s">
        <v>1624</v>
      </c>
      <c r="D29" s="285">
        <f>[1]Sheet1!C132*1.07</f>
        <v>648.52700000000004</v>
      </c>
      <c r="E29" s="121" t="s">
        <v>3</v>
      </c>
      <c r="F29" s="152" t="s">
        <v>3</v>
      </c>
      <c r="G29" s="121" t="s">
        <v>3</v>
      </c>
      <c r="H29" s="152" t="s">
        <v>3</v>
      </c>
      <c r="I29" s="121" t="s">
        <v>3</v>
      </c>
      <c r="J29" s="152" t="s">
        <v>3</v>
      </c>
      <c r="K29" s="121" t="s">
        <v>3</v>
      </c>
      <c r="L29" s="152" t="s">
        <v>2</v>
      </c>
      <c r="M29" s="121" t="s">
        <v>2</v>
      </c>
    </row>
    <row r="30" spans="1:13" ht="30" customHeight="1" x14ac:dyDescent="0.2">
      <c r="A30" s="130" t="s">
        <v>10</v>
      </c>
      <c r="B30" s="132" t="s">
        <v>1615</v>
      </c>
      <c r="C30" s="134" t="s">
        <v>1625</v>
      </c>
      <c r="D30" s="285">
        <f>[1]Sheet1!C133*1.07</f>
        <v>675.00950000000012</v>
      </c>
      <c r="E30" s="121" t="s">
        <v>2</v>
      </c>
      <c r="F30" s="152" t="s">
        <v>3</v>
      </c>
      <c r="G30" s="121" t="s">
        <v>3</v>
      </c>
      <c r="H30" s="152" t="s">
        <v>3</v>
      </c>
      <c r="I30" s="121" t="s">
        <v>3</v>
      </c>
      <c r="J30" s="152" t="s">
        <v>3</v>
      </c>
      <c r="K30" s="121" t="s">
        <v>3</v>
      </c>
      <c r="L30" s="152" t="s">
        <v>3</v>
      </c>
      <c r="M30" s="121" t="s">
        <v>3</v>
      </c>
    </row>
    <row r="31" spans="1:13" ht="30" customHeight="1" x14ac:dyDescent="0.2">
      <c r="A31" s="130" t="s">
        <v>10</v>
      </c>
      <c r="B31" s="132" t="s">
        <v>1616</v>
      </c>
      <c r="C31" s="134" t="s">
        <v>1626</v>
      </c>
      <c r="D31" s="285">
        <f>[1]Sheet1!C134*1.07</f>
        <v>810.95300000000009</v>
      </c>
      <c r="E31" s="121" t="s">
        <v>2</v>
      </c>
      <c r="F31" s="152" t="s">
        <v>3</v>
      </c>
      <c r="G31" s="121" t="s">
        <v>3</v>
      </c>
      <c r="H31" s="152" t="s">
        <v>3</v>
      </c>
      <c r="I31" s="121" t="s">
        <v>3</v>
      </c>
      <c r="J31" s="152" t="s">
        <v>3</v>
      </c>
      <c r="K31" s="121" t="s">
        <v>3</v>
      </c>
      <c r="L31" s="152" t="s">
        <v>3</v>
      </c>
      <c r="M31" s="121" t="s">
        <v>3</v>
      </c>
    </row>
    <row r="32" spans="1:13" ht="30" customHeight="1" x14ac:dyDescent="0.2">
      <c r="A32" s="130" t="s">
        <v>10</v>
      </c>
      <c r="B32" s="132" t="s">
        <v>1617</v>
      </c>
      <c r="C32" s="134" t="s">
        <v>1627</v>
      </c>
      <c r="D32" s="285">
        <f>[1]Sheet1!C135*1.07</f>
        <v>1309.4125000000001</v>
      </c>
      <c r="E32" s="121" t="s">
        <v>2</v>
      </c>
      <c r="F32" s="152" t="s">
        <v>3</v>
      </c>
      <c r="G32" s="121" t="s">
        <v>3</v>
      </c>
      <c r="H32" s="152" t="s">
        <v>3</v>
      </c>
      <c r="I32" s="121" t="s">
        <v>3</v>
      </c>
      <c r="J32" s="152" t="s">
        <v>3</v>
      </c>
      <c r="K32" s="121" t="s">
        <v>3</v>
      </c>
      <c r="L32" s="152" t="s">
        <v>3</v>
      </c>
      <c r="M32" s="121" t="s">
        <v>3</v>
      </c>
    </row>
    <row r="33" spans="1:13" ht="20.100000000000001" customHeight="1" x14ac:dyDescent="0.2">
      <c r="A33" s="130" t="s">
        <v>10</v>
      </c>
      <c r="B33" s="132" t="s">
        <v>1618</v>
      </c>
      <c r="C33" s="134" t="s">
        <v>1628</v>
      </c>
      <c r="D33" s="285">
        <f>[1]Sheet1!C136*1.07</f>
        <v>607.92050000000006</v>
      </c>
      <c r="E33" s="121" t="s">
        <v>2</v>
      </c>
      <c r="F33" s="152" t="s">
        <v>3</v>
      </c>
      <c r="G33" s="121" t="s">
        <v>3</v>
      </c>
      <c r="H33" s="152" t="s">
        <v>3</v>
      </c>
      <c r="I33" s="121" t="s">
        <v>3</v>
      </c>
      <c r="J33" s="152" t="s">
        <v>3</v>
      </c>
      <c r="K33" s="121" t="s">
        <v>3</v>
      </c>
      <c r="L33" s="152" t="s">
        <v>3</v>
      </c>
      <c r="M33" s="121" t="s">
        <v>3</v>
      </c>
    </row>
    <row r="34" spans="1:13" ht="20.100000000000001" customHeight="1" x14ac:dyDescent="0.2">
      <c r="A34" s="130" t="s">
        <v>10</v>
      </c>
      <c r="B34" s="132" t="s">
        <v>1619</v>
      </c>
      <c r="C34" s="134" t="s">
        <v>1629</v>
      </c>
      <c r="D34" s="285">
        <f>[1]Sheet1!C137*1.07</f>
        <v>474.33100000000002</v>
      </c>
      <c r="E34" s="121" t="s">
        <v>2</v>
      </c>
      <c r="F34" s="152" t="s">
        <v>3</v>
      </c>
      <c r="G34" s="121" t="s">
        <v>3</v>
      </c>
      <c r="H34" s="152" t="s">
        <v>3</v>
      </c>
      <c r="I34" s="121" t="s">
        <v>3</v>
      </c>
      <c r="J34" s="152" t="s">
        <v>3</v>
      </c>
      <c r="K34" s="121" t="s">
        <v>3</v>
      </c>
      <c r="L34" s="152" t="s">
        <v>3</v>
      </c>
      <c r="M34" s="121" t="s">
        <v>3</v>
      </c>
    </row>
    <row r="35" spans="1:13" ht="20.100000000000001" customHeight="1" x14ac:dyDescent="0.2">
      <c r="A35" s="130" t="s">
        <v>10</v>
      </c>
      <c r="B35" s="132" t="s">
        <v>1620</v>
      </c>
      <c r="C35" s="134" t="s">
        <v>1630</v>
      </c>
      <c r="D35" s="285">
        <f>[1]Sheet1!C138*1.07</f>
        <v>624.39850000000013</v>
      </c>
      <c r="E35" s="121" t="s">
        <v>3</v>
      </c>
      <c r="F35" s="152" t="s">
        <v>3</v>
      </c>
      <c r="G35" s="121" t="s">
        <v>3</v>
      </c>
      <c r="H35" s="152" t="s">
        <v>3</v>
      </c>
      <c r="I35" s="121" t="s">
        <v>2</v>
      </c>
      <c r="J35" s="152" t="s">
        <v>2</v>
      </c>
      <c r="K35" s="121" t="s">
        <v>2</v>
      </c>
      <c r="L35" s="152" t="s">
        <v>3</v>
      </c>
      <c r="M35" s="121" t="s">
        <v>3</v>
      </c>
    </row>
    <row r="36" spans="1:13" ht="30" customHeight="1" x14ac:dyDescent="0.2">
      <c r="A36" s="123" t="s">
        <v>7</v>
      </c>
      <c r="B36" s="123" t="s">
        <v>0</v>
      </c>
      <c r="C36" s="143" t="s">
        <v>906</v>
      </c>
      <c r="D36" s="123" t="s">
        <v>0</v>
      </c>
      <c r="E36" s="122" t="str">
        <f ca="1">INDIRECT("Data!$H"&amp;COLUMN()+71)</f>
        <v>Ecosys M4125idn</v>
      </c>
      <c r="F36" s="122" t="str">
        <f t="shared" ref="F36:M36" ca="1" si="2">INDIRECT("Data!$H"&amp;COLUMN()+71)</f>
        <v>Ecosys M4132idn</v>
      </c>
      <c r="G36" s="122" t="str">
        <f t="shared" ca="1" si="2"/>
        <v>MZ3200i</v>
      </c>
      <c r="H36" s="122" t="str">
        <f t="shared" ca="1" si="2"/>
        <v>MZ4000i</v>
      </c>
      <c r="I36" s="122" t="str">
        <f t="shared" ca="1" si="2"/>
        <v>TASKalfa 5004i</v>
      </c>
      <c r="J36" s="122" t="str">
        <f t="shared" ca="1" si="2"/>
        <v>Ecosys M2040dn</v>
      </c>
      <c r="K36" s="122" t="str">
        <f t="shared" ca="1" si="2"/>
        <v>TASkalfa 6004i</v>
      </c>
      <c r="L36" s="122" t="str">
        <f t="shared" ca="1" si="2"/>
        <v>TASKalfa 7004i</v>
      </c>
      <c r="M36" s="122" t="str">
        <f t="shared" ca="1" si="2"/>
        <v>TASKalfa 9003i</v>
      </c>
    </row>
    <row r="37" spans="1:13" ht="20.100000000000001" customHeight="1" x14ac:dyDescent="0.2">
      <c r="A37" s="130" t="s">
        <v>7</v>
      </c>
      <c r="B37" s="130" t="s">
        <v>1255</v>
      </c>
      <c r="C37" s="135" t="s">
        <v>1256</v>
      </c>
      <c r="D37" s="131">
        <v>162.80000000000001</v>
      </c>
      <c r="E37" s="121" t="s">
        <v>2</v>
      </c>
      <c r="F37" s="152" t="s">
        <v>2</v>
      </c>
      <c r="G37" s="121" t="s">
        <v>3</v>
      </c>
      <c r="H37" s="152" t="s">
        <v>3</v>
      </c>
      <c r="I37" s="121" t="s">
        <v>3</v>
      </c>
      <c r="J37" s="152" t="s">
        <v>2</v>
      </c>
      <c r="K37" s="121" t="s">
        <v>3</v>
      </c>
      <c r="L37" s="152" t="s">
        <v>3</v>
      </c>
      <c r="M37" s="121" t="s">
        <v>3</v>
      </c>
    </row>
    <row r="38" spans="1:13" ht="20.100000000000001" customHeight="1" x14ac:dyDescent="0.2">
      <c r="A38" s="130" t="s">
        <v>7</v>
      </c>
      <c r="B38" s="130" t="s">
        <v>1257</v>
      </c>
      <c r="C38" s="134" t="s">
        <v>1258</v>
      </c>
      <c r="D38" s="131">
        <v>260.7</v>
      </c>
      <c r="E38" s="121" t="s">
        <v>2</v>
      </c>
      <c r="F38" s="152" t="s">
        <v>2</v>
      </c>
      <c r="G38" s="121" t="s">
        <v>3</v>
      </c>
      <c r="H38" s="152" t="s">
        <v>3</v>
      </c>
      <c r="I38" s="121" t="s">
        <v>3</v>
      </c>
      <c r="J38" s="152" t="s">
        <v>3</v>
      </c>
      <c r="K38" s="121" t="s">
        <v>3</v>
      </c>
      <c r="L38" s="152" t="s">
        <v>3</v>
      </c>
      <c r="M38" s="121" t="s">
        <v>3</v>
      </c>
    </row>
    <row r="39" spans="1:13" ht="20.100000000000001" customHeight="1" x14ac:dyDescent="0.2">
      <c r="A39" s="130" t="s">
        <v>7</v>
      </c>
      <c r="B39" s="132" t="s">
        <v>1259</v>
      </c>
      <c r="C39" s="134" t="s">
        <v>1260</v>
      </c>
      <c r="D39" s="131">
        <v>506</v>
      </c>
      <c r="E39" s="121" t="s">
        <v>2</v>
      </c>
      <c r="F39" s="152" t="s">
        <v>2</v>
      </c>
      <c r="G39" s="121" t="s">
        <v>3</v>
      </c>
      <c r="H39" s="152" t="s">
        <v>3</v>
      </c>
      <c r="I39" s="121" t="s">
        <v>3</v>
      </c>
      <c r="J39" s="152" t="s">
        <v>3</v>
      </c>
      <c r="K39" s="121" t="s">
        <v>3</v>
      </c>
      <c r="L39" s="152" t="s">
        <v>3</v>
      </c>
      <c r="M39" s="121" t="s">
        <v>3</v>
      </c>
    </row>
    <row r="40" spans="1:13" ht="20.100000000000001" customHeight="1" x14ac:dyDescent="0.2">
      <c r="A40" s="130" t="s">
        <v>7</v>
      </c>
      <c r="B40" s="132" t="s">
        <v>1261</v>
      </c>
      <c r="C40" s="134" t="s">
        <v>2397</v>
      </c>
      <c r="D40" s="131">
        <v>759</v>
      </c>
      <c r="E40" s="121" t="s">
        <v>2</v>
      </c>
      <c r="F40" s="152" t="s">
        <v>2</v>
      </c>
      <c r="G40" s="121" t="s">
        <v>3</v>
      </c>
      <c r="H40" s="152" t="s">
        <v>3</v>
      </c>
      <c r="I40" s="121" t="s">
        <v>3</v>
      </c>
      <c r="J40" s="152" t="s">
        <v>3</v>
      </c>
      <c r="K40" s="121" t="s">
        <v>3</v>
      </c>
      <c r="L40" s="152" t="s">
        <v>3</v>
      </c>
      <c r="M40" s="121" t="s">
        <v>3</v>
      </c>
    </row>
    <row r="41" spans="1:13" ht="20.100000000000001" customHeight="1" x14ac:dyDescent="0.2">
      <c r="A41" s="130" t="s">
        <v>7</v>
      </c>
      <c r="B41" s="132" t="s">
        <v>1262</v>
      </c>
      <c r="C41" s="134" t="s">
        <v>1263</v>
      </c>
      <c r="D41" s="131">
        <v>573.1</v>
      </c>
      <c r="E41" s="121" t="s">
        <v>3</v>
      </c>
      <c r="F41" s="152" t="s">
        <v>3</v>
      </c>
      <c r="G41" s="121" t="s">
        <v>3</v>
      </c>
      <c r="H41" s="152" t="s">
        <v>3</v>
      </c>
      <c r="I41" s="121" t="s">
        <v>3</v>
      </c>
      <c r="J41" s="152" t="s">
        <v>3</v>
      </c>
      <c r="K41" s="121" t="s">
        <v>3</v>
      </c>
      <c r="L41" s="152" t="s">
        <v>3</v>
      </c>
      <c r="M41" s="121" t="s">
        <v>3</v>
      </c>
    </row>
    <row r="42" spans="1:13" ht="20.100000000000001" customHeight="1" x14ac:dyDescent="0.2">
      <c r="A42" s="130" t="s">
        <v>7</v>
      </c>
      <c r="B42" s="132" t="s">
        <v>1264</v>
      </c>
      <c r="C42" s="134" t="s">
        <v>1265</v>
      </c>
      <c r="D42" s="131">
        <v>726</v>
      </c>
      <c r="E42" s="121" t="s">
        <v>3</v>
      </c>
      <c r="F42" s="152" t="s">
        <v>3</v>
      </c>
      <c r="G42" s="121" t="s">
        <v>3</v>
      </c>
      <c r="H42" s="152" t="s">
        <v>3</v>
      </c>
      <c r="I42" s="121" t="s">
        <v>3</v>
      </c>
      <c r="J42" s="152" t="s">
        <v>3</v>
      </c>
      <c r="K42" s="121" t="s">
        <v>3</v>
      </c>
      <c r="L42" s="152" t="s">
        <v>3</v>
      </c>
      <c r="M42" s="121" t="s">
        <v>3</v>
      </c>
    </row>
    <row r="43" spans="1:13" ht="20.100000000000001" customHeight="1" x14ac:dyDescent="0.2">
      <c r="A43" s="130" t="s">
        <v>7</v>
      </c>
      <c r="B43" s="132" t="s">
        <v>1266</v>
      </c>
      <c r="C43" s="134" t="s">
        <v>1267</v>
      </c>
      <c r="D43" s="131">
        <v>638</v>
      </c>
      <c r="E43" s="121" t="s">
        <v>3</v>
      </c>
      <c r="F43" s="152" t="s">
        <v>3</v>
      </c>
      <c r="G43" s="121" t="s">
        <v>3</v>
      </c>
      <c r="H43" s="152" t="s">
        <v>3</v>
      </c>
      <c r="I43" s="121" t="s">
        <v>2</v>
      </c>
      <c r="J43" s="152" t="s">
        <v>3</v>
      </c>
      <c r="K43" s="121" t="s">
        <v>2</v>
      </c>
      <c r="L43" s="152" t="s">
        <v>2</v>
      </c>
      <c r="M43" s="121" t="s">
        <v>2</v>
      </c>
    </row>
    <row r="44" spans="1:13" ht="20.100000000000001" customHeight="1" x14ac:dyDescent="0.2">
      <c r="A44" s="130" t="s">
        <v>7</v>
      </c>
      <c r="B44" s="132" t="s">
        <v>2004</v>
      </c>
      <c r="C44" s="134" t="s">
        <v>2398</v>
      </c>
      <c r="D44" s="131">
        <v>573.1</v>
      </c>
      <c r="E44" s="121" t="s">
        <v>3</v>
      </c>
      <c r="F44" s="152" t="s">
        <v>3</v>
      </c>
      <c r="G44" s="121" t="s">
        <v>3</v>
      </c>
      <c r="H44" s="152" t="s">
        <v>3</v>
      </c>
      <c r="I44" s="121" t="s">
        <v>2</v>
      </c>
      <c r="J44" s="152" t="s">
        <v>3</v>
      </c>
      <c r="K44" s="121" t="s">
        <v>2</v>
      </c>
      <c r="L44" s="152" t="s">
        <v>2</v>
      </c>
      <c r="M44" s="121" t="s">
        <v>3</v>
      </c>
    </row>
    <row r="45" spans="1:13" ht="20.100000000000001" customHeight="1" x14ac:dyDescent="0.2">
      <c r="A45" s="130" t="s">
        <v>7</v>
      </c>
      <c r="B45" s="132" t="s">
        <v>2005</v>
      </c>
      <c r="C45" s="134" t="s">
        <v>2399</v>
      </c>
      <c r="D45" s="131">
        <v>726</v>
      </c>
      <c r="E45" s="121" t="s">
        <v>3</v>
      </c>
      <c r="F45" s="152" t="s">
        <v>3</v>
      </c>
      <c r="G45" s="121" t="s">
        <v>3</v>
      </c>
      <c r="H45" s="152" t="s">
        <v>3</v>
      </c>
      <c r="I45" s="121" t="s">
        <v>2</v>
      </c>
      <c r="J45" s="152" t="s">
        <v>3</v>
      </c>
      <c r="K45" s="121" t="s">
        <v>2</v>
      </c>
      <c r="L45" s="152" t="s">
        <v>2</v>
      </c>
      <c r="M45" s="121" t="s">
        <v>3</v>
      </c>
    </row>
    <row r="46" spans="1:13" ht="20.100000000000001" customHeight="1" x14ac:dyDescent="0.2">
      <c r="A46" s="130" t="s">
        <v>7</v>
      </c>
      <c r="B46" s="132" t="s">
        <v>1268</v>
      </c>
      <c r="C46" s="134" t="s">
        <v>1269</v>
      </c>
      <c r="D46" s="131">
        <v>266.2</v>
      </c>
      <c r="E46" s="121" t="s">
        <v>3</v>
      </c>
      <c r="F46" s="152" t="s">
        <v>3</v>
      </c>
      <c r="G46" s="121" t="s">
        <v>3</v>
      </c>
      <c r="H46" s="152" t="s">
        <v>3</v>
      </c>
      <c r="I46" s="121" t="s">
        <v>3</v>
      </c>
      <c r="J46" s="152" t="s">
        <v>3</v>
      </c>
      <c r="K46" s="121" t="s">
        <v>3</v>
      </c>
      <c r="L46" s="152" t="s">
        <v>3</v>
      </c>
      <c r="M46" s="121" t="s">
        <v>3</v>
      </c>
    </row>
    <row r="47" spans="1:13" ht="20.100000000000001" customHeight="1" x14ac:dyDescent="0.2">
      <c r="A47" s="130" t="s">
        <v>7</v>
      </c>
      <c r="B47" s="132" t="s">
        <v>1276</v>
      </c>
      <c r="C47" s="134" t="s">
        <v>1277</v>
      </c>
      <c r="D47" s="131">
        <v>447.7</v>
      </c>
      <c r="E47" s="121" t="s">
        <v>3</v>
      </c>
      <c r="F47" s="152" t="s">
        <v>3</v>
      </c>
      <c r="G47" s="121" t="s">
        <v>3</v>
      </c>
      <c r="H47" s="152" t="s">
        <v>3</v>
      </c>
      <c r="I47" s="121" t="s">
        <v>3</v>
      </c>
      <c r="J47" s="152" t="s">
        <v>3</v>
      </c>
      <c r="K47" s="121" t="s">
        <v>3</v>
      </c>
      <c r="L47" s="152" t="s">
        <v>3</v>
      </c>
      <c r="M47" s="121" t="s">
        <v>2</v>
      </c>
    </row>
    <row r="48" spans="1:13" ht="20.100000000000001" customHeight="1" x14ac:dyDescent="0.2">
      <c r="A48" s="130" t="s">
        <v>7</v>
      </c>
      <c r="B48" s="132" t="s">
        <v>1278</v>
      </c>
      <c r="C48" s="134" t="s">
        <v>1279</v>
      </c>
      <c r="D48" s="131">
        <v>573.1</v>
      </c>
      <c r="E48" s="121" t="s">
        <v>3</v>
      </c>
      <c r="F48" s="152" t="s">
        <v>3</v>
      </c>
      <c r="G48" s="121" t="s">
        <v>3</v>
      </c>
      <c r="H48" s="152" t="s">
        <v>3</v>
      </c>
      <c r="I48" s="121" t="s">
        <v>3</v>
      </c>
      <c r="J48" s="152" t="s">
        <v>3</v>
      </c>
      <c r="K48" s="121" t="s">
        <v>3</v>
      </c>
      <c r="L48" s="152" t="s">
        <v>3</v>
      </c>
      <c r="M48" s="121" t="s">
        <v>2</v>
      </c>
    </row>
    <row r="49" spans="1:13" ht="20.100000000000001" customHeight="1" x14ac:dyDescent="0.2">
      <c r="A49" s="130" t="s">
        <v>7</v>
      </c>
      <c r="B49" s="132" t="s">
        <v>1280</v>
      </c>
      <c r="C49" s="134" t="s">
        <v>1281</v>
      </c>
      <c r="D49" s="131">
        <v>726</v>
      </c>
      <c r="E49" s="121" t="s">
        <v>3</v>
      </c>
      <c r="F49" s="152" t="s">
        <v>3</v>
      </c>
      <c r="G49" s="121" t="s">
        <v>3</v>
      </c>
      <c r="H49" s="152" t="s">
        <v>3</v>
      </c>
      <c r="I49" s="121" t="s">
        <v>3</v>
      </c>
      <c r="J49" s="152" t="s">
        <v>3</v>
      </c>
      <c r="K49" s="121" t="s">
        <v>3</v>
      </c>
      <c r="L49" s="152" t="s">
        <v>3</v>
      </c>
      <c r="M49" s="121" t="s">
        <v>2</v>
      </c>
    </row>
    <row r="50" spans="1:13" ht="20.100000000000001" customHeight="1" x14ac:dyDescent="0.2">
      <c r="A50" s="130" t="s">
        <v>7</v>
      </c>
      <c r="B50" s="132" t="s">
        <v>1282</v>
      </c>
      <c r="C50" s="134" t="s">
        <v>1283</v>
      </c>
      <c r="D50" s="131">
        <v>583</v>
      </c>
      <c r="E50" s="121" t="s">
        <v>2</v>
      </c>
      <c r="F50" s="152" t="s">
        <v>2</v>
      </c>
      <c r="G50" s="121" t="s">
        <v>3</v>
      </c>
      <c r="H50" s="152" t="s">
        <v>3</v>
      </c>
      <c r="I50" s="121" t="s">
        <v>3</v>
      </c>
      <c r="J50" s="152" t="s">
        <v>3</v>
      </c>
      <c r="K50" s="121" t="s">
        <v>3</v>
      </c>
      <c r="L50" s="152" t="s">
        <v>3</v>
      </c>
      <c r="M50" s="121" t="s">
        <v>3</v>
      </c>
    </row>
    <row r="51" spans="1:13" ht="20.100000000000001" customHeight="1" x14ac:dyDescent="0.2">
      <c r="A51" s="130" t="s">
        <v>7</v>
      </c>
      <c r="B51" s="132" t="s">
        <v>1284</v>
      </c>
      <c r="C51" s="134" t="s">
        <v>1285</v>
      </c>
      <c r="D51" s="131">
        <v>559.9</v>
      </c>
      <c r="E51" s="121" t="s">
        <v>3</v>
      </c>
      <c r="F51" s="152" t="s">
        <v>3</v>
      </c>
      <c r="G51" s="121" t="s">
        <v>3</v>
      </c>
      <c r="H51" s="152" t="s">
        <v>3</v>
      </c>
      <c r="I51" s="121" t="s">
        <v>2</v>
      </c>
      <c r="J51" s="152" t="s">
        <v>3</v>
      </c>
      <c r="K51" s="121" t="s">
        <v>2</v>
      </c>
      <c r="L51" s="152" t="s">
        <v>2</v>
      </c>
      <c r="M51" s="121" t="s">
        <v>3</v>
      </c>
    </row>
    <row r="52" spans="1:13" ht="20.100000000000001" customHeight="1" x14ac:dyDescent="0.2">
      <c r="A52" s="130" t="s">
        <v>7</v>
      </c>
      <c r="B52" s="132" t="s">
        <v>1286</v>
      </c>
      <c r="C52" s="134" t="s">
        <v>1287</v>
      </c>
      <c r="D52" s="131">
        <v>939.4</v>
      </c>
      <c r="E52" s="121" t="s">
        <v>3</v>
      </c>
      <c r="F52" s="152" t="s">
        <v>3</v>
      </c>
      <c r="G52" s="121" t="s">
        <v>3</v>
      </c>
      <c r="H52" s="152" t="s">
        <v>3</v>
      </c>
      <c r="I52" s="121" t="s">
        <v>2</v>
      </c>
      <c r="J52" s="152" t="s">
        <v>3</v>
      </c>
      <c r="K52" s="121" t="s">
        <v>2</v>
      </c>
      <c r="L52" s="152" t="s">
        <v>2</v>
      </c>
      <c r="M52" s="121" t="s">
        <v>3</v>
      </c>
    </row>
    <row r="53" spans="1:13" ht="20.100000000000001" customHeight="1" x14ac:dyDescent="0.2">
      <c r="A53" s="130" t="s">
        <v>7</v>
      </c>
      <c r="B53" s="132" t="s">
        <v>1288</v>
      </c>
      <c r="C53" s="134" t="s">
        <v>1289</v>
      </c>
      <c r="D53" s="131">
        <v>1398.1</v>
      </c>
      <c r="E53" s="121" t="s">
        <v>3</v>
      </c>
      <c r="F53" s="152" t="s">
        <v>3</v>
      </c>
      <c r="G53" s="121" t="s">
        <v>3</v>
      </c>
      <c r="H53" s="152" t="s">
        <v>3</v>
      </c>
      <c r="I53" s="121" t="s">
        <v>3</v>
      </c>
      <c r="J53" s="152" t="s">
        <v>3</v>
      </c>
      <c r="K53" s="121" t="s">
        <v>3</v>
      </c>
      <c r="L53" s="152" t="s">
        <v>3</v>
      </c>
      <c r="M53" s="121" t="s">
        <v>2</v>
      </c>
    </row>
    <row r="54" spans="1:13" ht="20.100000000000001" customHeight="1" x14ac:dyDescent="0.2">
      <c r="A54" s="130" t="s">
        <v>7</v>
      </c>
      <c r="B54" s="132" t="s">
        <v>2006</v>
      </c>
      <c r="C54" s="134" t="s">
        <v>2402</v>
      </c>
      <c r="D54" s="131">
        <v>1398.1</v>
      </c>
      <c r="E54" s="121" t="s">
        <v>3</v>
      </c>
      <c r="F54" s="152" t="s">
        <v>3</v>
      </c>
      <c r="G54" s="121" t="s">
        <v>3</v>
      </c>
      <c r="H54" s="152" t="s">
        <v>3</v>
      </c>
      <c r="I54" s="121" t="s">
        <v>2</v>
      </c>
      <c r="J54" s="152" t="s">
        <v>3</v>
      </c>
      <c r="K54" s="121" t="s">
        <v>2</v>
      </c>
      <c r="L54" s="152" t="s">
        <v>2</v>
      </c>
      <c r="M54" s="121" t="s">
        <v>3</v>
      </c>
    </row>
    <row r="55" spans="1:13" ht="20.100000000000001" customHeight="1" x14ac:dyDescent="0.2">
      <c r="A55" s="130" t="s">
        <v>7</v>
      </c>
      <c r="B55" s="132" t="s">
        <v>2403</v>
      </c>
      <c r="C55" s="134" t="s">
        <v>2007</v>
      </c>
      <c r="D55" s="131">
        <v>68.2</v>
      </c>
      <c r="E55" s="121" t="s">
        <v>3</v>
      </c>
      <c r="F55" s="152" t="s">
        <v>3</v>
      </c>
      <c r="G55" s="121" t="s">
        <v>3</v>
      </c>
      <c r="H55" s="152" t="s">
        <v>3</v>
      </c>
      <c r="I55" s="121" t="s">
        <v>2</v>
      </c>
      <c r="J55" s="152" t="s">
        <v>3</v>
      </c>
      <c r="K55" s="121" t="s">
        <v>2</v>
      </c>
      <c r="L55" s="152" t="s">
        <v>2</v>
      </c>
      <c r="M55" s="121" t="s">
        <v>2</v>
      </c>
    </row>
    <row r="56" spans="1:13" ht="20.100000000000001" customHeight="1" x14ac:dyDescent="0.2">
      <c r="A56" s="130" t="s">
        <v>7</v>
      </c>
      <c r="B56" s="132" t="s">
        <v>1290</v>
      </c>
      <c r="C56" s="134" t="s">
        <v>1291</v>
      </c>
      <c r="D56" s="131">
        <v>305.8</v>
      </c>
      <c r="E56" s="121" t="s">
        <v>3</v>
      </c>
      <c r="F56" s="152" t="s">
        <v>3</v>
      </c>
      <c r="G56" s="121" t="s">
        <v>3</v>
      </c>
      <c r="H56" s="152" t="s">
        <v>3</v>
      </c>
      <c r="I56" s="121" t="s">
        <v>2</v>
      </c>
      <c r="J56" s="152" t="s">
        <v>3</v>
      </c>
      <c r="K56" s="121" t="s">
        <v>2</v>
      </c>
      <c r="L56" s="152" t="s">
        <v>2</v>
      </c>
      <c r="M56" s="121" t="s">
        <v>2</v>
      </c>
    </row>
    <row r="57" spans="1:13" ht="20.100000000000001" customHeight="1" x14ac:dyDescent="0.2">
      <c r="A57" s="130" t="s">
        <v>7</v>
      </c>
      <c r="B57" s="132" t="s">
        <v>1292</v>
      </c>
      <c r="C57" s="134" t="s">
        <v>1293</v>
      </c>
      <c r="D57" s="131">
        <v>272.8</v>
      </c>
      <c r="E57" s="121" t="s">
        <v>3</v>
      </c>
      <c r="F57" s="152" t="s">
        <v>3</v>
      </c>
      <c r="G57" s="121" t="s">
        <v>3</v>
      </c>
      <c r="H57" s="152" t="s">
        <v>3</v>
      </c>
      <c r="I57" s="121" t="s">
        <v>2</v>
      </c>
      <c r="J57" s="152" t="s">
        <v>3</v>
      </c>
      <c r="K57" s="121" t="s">
        <v>2</v>
      </c>
      <c r="L57" s="152" t="s">
        <v>2</v>
      </c>
      <c r="M57" s="121" t="s">
        <v>2</v>
      </c>
    </row>
    <row r="58" spans="1:13" ht="20.100000000000001" customHeight="1" x14ac:dyDescent="0.2">
      <c r="A58" s="130" t="s">
        <v>7</v>
      </c>
      <c r="B58" s="132" t="s">
        <v>1294</v>
      </c>
      <c r="C58" s="134" t="s">
        <v>1295</v>
      </c>
      <c r="D58" s="131">
        <v>816.2</v>
      </c>
      <c r="E58" s="121" t="s">
        <v>3</v>
      </c>
      <c r="F58" s="152" t="s">
        <v>3</v>
      </c>
      <c r="G58" s="121" t="s">
        <v>3</v>
      </c>
      <c r="H58" s="152" t="s">
        <v>3</v>
      </c>
      <c r="I58" s="121" t="s">
        <v>2</v>
      </c>
      <c r="J58" s="152" t="s">
        <v>3</v>
      </c>
      <c r="K58" s="121" t="s">
        <v>2</v>
      </c>
      <c r="L58" s="152" t="s">
        <v>2</v>
      </c>
      <c r="M58" s="121" t="s">
        <v>2</v>
      </c>
    </row>
    <row r="59" spans="1:13" ht="20.100000000000001" customHeight="1" x14ac:dyDescent="0.2">
      <c r="A59" s="130" t="s">
        <v>7</v>
      </c>
      <c r="B59" s="132" t="s">
        <v>1296</v>
      </c>
      <c r="C59" s="134" t="s">
        <v>1297</v>
      </c>
      <c r="D59" s="131">
        <v>609.4</v>
      </c>
      <c r="E59" s="121" t="s">
        <v>3</v>
      </c>
      <c r="F59" s="152" t="s">
        <v>3</v>
      </c>
      <c r="G59" s="121" t="s">
        <v>3</v>
      </c>
      <c r="H59" s="152" t="s">
        <v>3</v>
      </c>
      <c r="I59" s="121" t="s">
        <v>2</v>
      </c>
      <c r="J59" s="152" t="s">
        <v>3</v>
      </c>
      <c r="K59" s="121" t="s">
        <v>2</v>
      </c>
      <c r="L59" s="152" t="s">
        <v>2</v>
      </c>
      <c r="M59" s="121" t="s">
        <v>2</v>
      </c>
    </row>
    <row r="60" spans="1:13" ht="20.100000000000001" customHeight="1" x14ac:dyDescent="0.2">
      <c r="A60" s="130" t="s">
        <v>7</v>
      </c>
      <c r="B60" s="132" t="s">
        <v>1310</v>
      </c>
      <c r="C60" s="134" t="s">
        <v>1311</v>
      </c>
      <c r="D60" s="131">
        <v>270.60000000000002</v>
      </c>
      <c r="E60" s="121" t="s">
        <v>2</v>
      </c>
      <c r="F60" s="152" t="s">
        <v>2</v>
      </c>
      <c r="G60" s="121" t="s">
        <v>3</v>
      </c>
      <c r="H60" s="152" t="s">
        <v>3</v>
      </c>
      <c r="I60" s="121" t="s">
        <v>3</v>
      </c>
      <c r="J60" s="152" t="s">
        <v>3</v>
      </c>
      <c r="K60" s="121" t="s">
        <v>3</v>
      </c>
      <c r="L60" s="152" t="s">
        <v>3</v>
      </c>
      <c r="M60" s="121" t="s">
        <v>3</v>
      </c>
    </row>
    <row r="61" spans="1:13" ht="20.100000000000001" customHeight="1" x14ac:dyDescent="0.2">
      <c r="A61" s="130" t="s">
        <v>7</v>
      </c>
      <c r="B61" s="132" t="s">
        <v>1312</v>
      </c>
      <c r="C61" s="134" t="s">
        <v>1313</v>
      </c>
      <c r="D61" s="131">
        <v>380.6</v>
      </c>
      <c r="E61" s="121" t="s">
        <v>2</v>
      </c>
      <c r="F61" s="152" t="s">
        <v>2</v>
      </c>
      <c r="G61" s="121" t="s">
        <v>3</v>
      </c>
      <c r="H61" s="152" t="s">
        <v>3</v>
      </c>
      <c r="I61" s="121" t="s">
        <v>3</v>
      </c>
      <c r="J61" s="152" t="s">
        <v>3</v>
      </c>
      <c r="K61" s="121" t="s">
        <v>3</v>
      </c>
      <c r="L61" s="152" t="s">
        <v>3</v>
      </c>
      <c r="M61" s="121" t="s">
        <v>3</v>
      </c>
    </row>
    <row r="62" spans="1:13" ht="20.100000000000001" customHeight="1" x14ac:dyDescent="0.2">
      <c r="A62" s="130" t="s">
        <v>7</v>
      </c>
      <c r="B62" s="132" t="s">
        <v>1314</v>
      </c>
      <c r="C62" s="134" t="s">
        <v>1315</v>
      </c>
      <c r="D62" s="131">
        <v>383.9</v>
      </c>
      <c r="E62" s="121" t="s">
        <v>3</v>
      </c>
      <c r="F62" s="152" t="s">
        <v>3</v>
      </c>
      <c r="G62" s="121" t="s">
        <v>2</v>
      </c>
      <c r="H62" s="152" t="s">
        <v>2</v>
      </c>
      <c r="I62" s="121" t="s">
        <v>3</v>
      </c>
      <c r="J62" s="152" t="s">
        <v>3</v>
      </c>
      <c r="K62" s="121" t="s">
        <v>3</v>
      </c>
      <c r="L62" s="152" t="s">
        <v>3</v>
      </c>
      <c r="M62" s="121" t="s">
        <v>3</v>
      </c>
    </row>
    <row r="63" spans="1:13" ht="20.100000000000001" customHeight="1" x14ac:dyDescent="0.2">
      <c r="A63" s="130" t="s">
        <v>7</v>
      </c>
      <c r="B63" s="132" t="s">
        <v>1318</v>
      </c>
      <c r="C63" s="134" t="s">
        <v>1319</v>
      </c>
      <c r="D63" s="131">
        <v>407</v>
      </c>
      <c r="E63" s="121" t="s">
        <v>2</v>
      </c>
      <c r="F63" s="152" t="s">
        <v>2</v>
      </c>
      <c r="G63" s="121" t="s">
        <v>2</v>
      </c>
      <c r="H63" s="152" t="s">
        <v>2</v>
      </c>
      <c r="I63" s="121" t="s">
        <v>2</v>
      </c>
      <c r="J63" s="152" t="s">
        <v>3</v>
      </c>
      <c r="K63" s="121" t="s">
        <v>2</v>
      </c>
      <c r="L63" s="152" t="s">
        <v>2</v>
      </c>
      <c r="M63" s="121" t="s">
        <v>2</v>
      </c>
    </row>
    <row r="64" spans="1:13" ht="20.100000000000001" customHeight="1" x14ac:dyDescent="0.2">
      <c r="A64" s="130" t="s">
        <v>7</v>
      </c>
      <c r="B64" s="132" t="s">
        <v>1320</v>
      </c>
      <c r="C64" s="134" t="s">
        <v>1321</v>
      </c>
      <c r="D64" s="131">
        <v>381.7</v>
      </c>
      <c r="E64" s="121" t="s">
        <v>3</v>
      </c>
      <c r="F64" s="152" t="s">
        <v>3</v>
      </c>
      <c r="G64" s="121" t="s">
        <v>2</v>
      </c>
      <c r="H64" s="152" t="s">
        <v>2</v>
      </c>
      <c r="I64" s="121" t="s">
        <v>3</v>
      </c>
      <c r="J64" s="152" t="s">
        <v>3</v>
      </c>
      <c r="K64" s="121" t="s">
        <v>3</v>
      </c>
      <c r="L64" s="152" t="s">
        <v>3</v>
      </c>
      <c r="M64" s="121" t="s">
        <v>3</v>
      </c>
    </row>
    <row r="65" spans="1:13" ht="20.100000000000001" customHeight="1" x14ac:dyDescent="0.2">
      <c r="A65" s="130" t="s">
        <v>7</v>
      </c>
      <c r="B65" s="132" t="s">
        <v>1322</v>
      </c>
      <c r="C65" s="134" t="s">
        <v>1323</v>
      </c>
      <c r="D65" s="131">
        <v>440</v>
      </c>
      <c r="E65" s="121" t="s">
        <v>3</v>
      </c>
      <c r="F65" s="152" t="s">
        <v>3</v>
      </c>
      <c r="G65" s="121" t="s">
        <v>2</v>
      </c>
      <c r="H65" s="152" t="s">
        <v>2</v>
      </c>
      <c r="I65" s="121" t="s">
        <v>3</v>
      </c>
      <c r="J65" s="152" t="s">
        <v>3</v>
      </c>
      <c r="K65" s="121" t="s">
        <v>3</v>
      </c>
      <c r="L65" s="152" t="s">
        <v>3</v>
      </c>
      <c r="M65" s="121" t="s">
        <v>3</v>
      </c>
    </row>
    <row r="66" spans="1:13" ht="20.100000000000001" customHeight="1" x14ac:dyDescent="0.2">
      <c r="A66" s="130" t="s">
        <v>7</v>
      </c>
      <c r="B66" s="132" t="s">
        <v>1324</v>
      </c>
      <c r="C66" s="134" t="s">
        <v>1325</v>
      </c>
      <c r="D66" s="131">
        <v>761.2</v>
      </c>
      <c r="E66" s="121" t="s">
        <v>3</v>
      </c>
      <c r="F66" s="152" t="s">
        <v>3</v>
      </c>
      <c r="G66" s="121" t="s">
        <v>2</v>
      </c>
      <c r="H66" s="152" t="s">
        <v>2</v>
      </c>
      <c r="I66" s="121" t="s">
        <v>3</v>
      </c>
      <c r="J66" s="152" t="s">
        <v>3</v>
      </c>
      <c r="K66" s="121" t="s">
        <v>3</v>
      </c>
      <c r="L66" s="152" t="s">
        <v>3</v>
      </c>
      <c r="M66" s="121" t="s">
        <v>3</v>
      </c>
    </row>
    <row r="67" spans="1:13" ht="20.100000000000001" customHeight="1" x14ac:dyDescent="0.2">
      <c r="A67" s="130" t="s">
        <v>7</v>
      </c>
      <c r="B67" s="132" t="s">
        <v>2009</v>
      </c>
      <c r="C67" s="134" t="s">
        <v>2404</v>
      </c>
      <c r="D67" s="131">
        <v>440</v>
      </c>
      <c r="E67" s="121" t="s">
        <v>3</v>
      </c>
      <c r="F67" s="152" t="s">
        <v>3</v>
      </c>
      <c r="G67" s="121" t="s">
        <v>3</v>
      </c>
      <c r="H67" s="152" t="s">
        <v>3</v>
      </c>
      <c r="I67" s="121" t="s">
        <v>2</v>
      </c>
      <c r="J67" s="152" t="s">
        <v>3</v>
      </c>
      <c r="K67" s="121" t="s">
        <v>2</v>
      </c>
      <c r="L67" s="152" t="s">
        <v>2</v>
      </c>
      <c r="M67" s="121" t="s">
        <v>3</v>
      </c>
    </row>
    <row r="68" spans="1:13" ht="20.100000000000001" customHeight="1" x14ac:dyDescent="0.2">
      <c r="A68" s="130" t="s">
        <v>7</v>
      </c>
      <c r="B68" s="132" t="s">
        <v>2008</v>
      </c>
      <c r="C68" s="134" t="s">
        <v>2405</v>
      </c>
      <c r="D68" s="131">
        <v>381.7</v>
      </c>
      <c r="E68" s="121" t="s">
        <v>3</v>
      </c>
      <c r="F68" s="152" t="s">
        <v>3</v>
      </c>
      <c r="G68" s="121" t="s">
        <v>3</v>
      </c>
      <c r="H68" s="152" t="s">
        <v>3</v>
      </c>
      <c r="I68" s="121" t="s">
        <v>2</v>
      </c>
      <c r="J68" s="152" t="s">
        <v>3</v>
      </c>
      <c r="K68" s="121" t="s">
        <v>2</v>
      </c>
      <c r="L68" s="152" t="s">
        <v>2</v>
      </c>
      <c r="M68" s="121" t="s">
        <v>3</v>
      </c>
    </row>
    <row r="69" spans="1:13" ht="20.100000000000001" customHeight="1" x14ac:dyDescent="0.2">
      <c r="A69" s="130" t="s">
        <v>7</v>
      </c>
      <c r="B69" s="132" t="s">
        <v>2010</v>
      </c>
      <c r="C69" s="134" t="s">
        <v>2406</v>
      </c>
      <c r="D69" s="131">
        <v>761.2</v>
      </c>
      <c r="E69" s="121" t="s">
        <v>3</v>
      </c>
      <c r="F69" s="152" t="s">
        <v>3</v>
      </c>
      <c r="G69" s="121" t="s">
        <v>3</v>
      </c>
      <c r="H69" s="152" t="s">
        <v>3</v>
      </c>
      <c r="I69" s="121" t="s">
        <v>2</v>
      </c>
      <c r="J69" s="152" t="s">
        <v>3</v>
      </c>
      <c r="K69" s="121" t="s">
        <v>2</v>
      </c>
      <c r="L69" s="152" t="s">
        <v>2</v>
      </c>
      <c r="M69" s="121" t="s">
        <v>1762</v>
      </c>
    </row>
    <row r="70" spans="1:13" ht="20.100000000000001" customHeight="1" x14ac:dyDescent="0.2">
      <c r="A70" s="130" t="s">
        <v>7</v>
      </c>
      <c r="B70" s="132" t="s">
        <v>2011</v>
      </c>
      <c r="C70" s="134" t="s">
        <v>2407</v>
      </c>
      <c r="D70" s="131">
        <v>940.5</v>
      </c>
      <c r="E70" s="121" t="s">
        <v>3</v>
      </c>
      <c r="F70" s="152" t="s">
        <v>3</v>
      </c>
      <c r="G70" s="121" t="s">
        <v>3</v>
      </c>
      <c r="H70" s="152" t="s">
        <v>3</v>
      </c>
      <c r="I70" s="121" t="s">
        <v>2</v>
      </c>
      <c r="J70" s="152" t="s">
        <v>3</v>
      </c>
      <c r="K70" s="121" t="s">
        <v>2</v>
      </c>
      <c r="L70" s="152" t="s">
        <v>2</v>
      </c>
      <c r="M70" s="121" t="s">
        <v>3</v>
      </c>
    </row>
    <row r="71" spans="1:13" ht="20.100000000000001" customHeight="1" x14ac:dyDescent="0.2">
      <c r="A71" s="130" t="s">
        <v>7</v>
      </c>
      <c r="B71" s="132" t="s">
        <v>1330</v>
      </c>
      <c r="C71" s="134" t="s">
        <v>1331</v>
      </c>
      <c r="D71" s="131">
        <v>363</v>
      </c>
      <c r="E71" s="121" t="s">
        <v>2</v>
      </c>
      <c r="F71" s="152" t="s">
        <v>2</v>
      </c>
      <c r="G71" s="121" t="s">
        <v>3</v>
      </c>
      <c r="H71" s="152" t="s">
        <v>3</v>
      </c>
      <c r="I71" s="121" t="s">
        <v>3</v>
      </c>
      <c r="J71" s="152" t="s">
        <v>3</v>
      </c>
      <c r="K71" s="121" t="s">
        <v>3</v>
      </c>
      <c r="L71" s="152" t="s">
        <v>3</v>
      </c>
      <c r="M71" s="121" t="s">
        <v>3</v>
      </c>
    </row>
    <row r="72" spans="1:13" ht="20.100000000000001" customHeight="1" x14ac:dyDescent="0.2">
      <c r="A72" s="130" t="s">
        <v>7</v>
      </c>
      <c r="B72" s="132" t="s">
        <v>1332</v>
      </c>
      <c r="C72" s="134" t="s">
        <v>1333</v>
      </c>
      <c r="D72" s="131">
        <v>446.6</v>
      </c>
      <c r="E72" s="121" t="s">
        <v>3</v>
      </c>
      <c r="F72" s="152" t="s">
        <v>3</v>
      </c>
      <c r="G72" s="121" t="s">
        <v>2</v>
      </c>
      <c r="H72" s="152" t="s">
        <v>2</v>
      </c>
      <c r="I72" s="121" t="s">
        <v>2</v>
      </c>
      <c r="J72" s="152" t="s">
        <v>3</v>
      </c>
      <c r="K72" s="121" t="s">
        <v>2</v>
      </c>
      <c r="L72" s="152" t="s">
        <v>2</v>
      </c>
      <c r="M72" s="121" t="s">
        <v>2</v>
      </c>
    </row>
    <row r="73" spans="1:13" ht="20.100000000000001" customHeight="1" x14ac:dyDescent="0.2">
      <c r="A73" s="130" t="s">
        <v>7</v>
      </c>
      <c r="B73" s="132" t="s">
        <v>1336</v>
      </c>
      <c r="C73" s="134" t="s">
        <v>1337</v>
      </c>
      <c r="D73" s="131">
        <v>121</v>
      </c>
      <c r="E73" s="121" t="s">
        <v>2</v>
      </c>
      <c r="F73" s="152" t="s">
        <v>2</v>
      </c>
      <c r="G73" s="121" t="s">
        <v>3</v>
      </c>
      <c r="H73" s="152" t="s">
        <v>3</v>
      </c>
      <c r="I73" s="121" t="s">
        <v>3</v>
      </c>
      <c r="J73" s="152" t="s">
        <v>3</v>
      </c>
      <c r="K73" s="121" t="s">
        <v>3</v>
      </c>
      <c r="L73" s="152" t="s">
        <v>3</v>
      </c>
      <c r="M73" s="121" t="s">
        <v>3</v>
      </c>
    </row>
    <row r="74" spans="1:13" ht="20.100000000000001" customHeight="1" x14ac:dyDescent="0.2">
      <c r="A74" s="130" t="s">
        <v>7</v>
      </c>
      <c r="B74" s="132" t="s">
        <v>1338</v>
      </c>
      <c r="C74" s="134" t="s">
        <v>1339</v>
      </c>
      <c r="D74" s="131">
        <v>145.19999999999999</v>
      </c>
      <c r="E74" s="121" t="s">
        <v>3</v>
      </c>
      <c r="F74" s="152" t="s">
        <v>3</v>
      </c>
      <c r="G74" s="121" t="s">
        <v>3</v>
      </c>
      <c r="H74" s="152" t="s">
        <v>3</v>
      </c>
      <c r="I74" s="121" t="s">
        <v>3</v>
      </c>
      <c r="J74" s="152" t="s">
        <v>3</v>
      </c>
      <c r="K74" s="121" t="s">
        <v>3</v>
      </c>
      <c r="L74" s="152" t="s">
        <v>3</v>
      </c>
      <c r="M74" s="121" t="s">
        <v>3</v>
      </c>
    </row>
    <row r="75" spans="1:13" ht="20.100000000000001" customHeight="1" x14ac:dyDescent="0.2">
      <c r="A75" s="130" t="s">
        <v>7</v>
      </c>
      <c r="B75" s="132" t="s">
        <v>2012</v>
      </c>
      <c r="C75" s="134" t="s">
        <v>2412</v>
      </c>
      <c r="D75" s="131">
        <v>145.19999999999999</v>
      </c>
      <c r="E75" s="121" t="s">
        <v>3</v>
      </c>
      <c r="F75" s="152" t="s">
        <v>3</v>
      </c>
      <c r="G75" s="121" t="s">
        <v>3</v>
      </c>
      <c r="H75" s="152" t="s">
        <v>3</v>
      </c>
      <c r="I75" s="121" t="s">
        <v>2</v>
      </c>
      <c r="J75" s="152" t="s">
        <v>3</v>
      </c>
      <c r="K75" s="121" t="s">
        <v>2</v>
      </c>
      <c r="L75" s="152" t="s">
        <v>2</v>
      </c>
      <c r="M75" s="121" t="s">
        <v>3</v>
      </c>
    </row>
    <row r="76" spans="1:13" ht="20.100000000000001" customHeight="1" x14ac:dyDescent="0.2">
      <c r="A76" s="130" t="s">
        <v>7</v>
      </c>
      <c r="B76" s="132" t="s">
        <v>1344</v>
      </c>
      <c r="C76" s="134" t="s">
        <v>1345</v>
      </c>
      <c r="D76" s="131">
        <v>249.7</v>
      </c>
      <c r="E76" s="121" t="s">
        <v>2</v>
      </c>
      <c r="F76" s="152" t="s">
        <v>2</v>
      </c>
      <c r="G76" s="121" t="s">
        <v>2</v>
      </c>
      <c r="H76" s="152" t="s">
        <v>2</v>
      </c>
      <c r="I76" s="121" t="s">
        <v>2</v>
      </c>
      <c r="J76" s="152" t="s">
        <v>3</v>
      </c>
      <c r="K76" s="121" t="s">
        <v>2</v>
      </c>
      <c r="L76" s="152" t="s">
        <v>2</v>
      </c>
      <c r="M76" s="121" t="s">
        <v>2</v>
      </c>
    </row>
    <row r="77" spans="1:13" ht="20.100000000000001" customHeight="1" x14ac:dyDescent="0.2">
      <c r="A77" s="130" t="s">
        <v>7</v>
      </c>
      <c r="B77" s="132" t="s">
        <v>1346</v>
      </c>
      <c r="C77" s="134" t="s">
        <v>1347</v>
      </c>
      <c r="D77" s="131">
        <v>192.5</v>
      </c>
      <c r="E77" s="121" t="s">
        <v>2</v>
      </c>
      <c r="F77" s="152" t="s">
        <v>2</v>
      </c>
      <c r="G77" s="121" t="s">
        <v>2</v>
      </c>
      <c r="H77" s="152" t="s">
        <v>2</v>
      </c>
      <c r="I77" s="121" t="s">
        <v>2</v>
      </c>
      <c r="J77" s="152" t="s">
        <v>3</v>
      </c>
      <c r="K77" s="121" t="s">
        <v>2</v>
      </c>
      <c r="L77" s="152" t="s">
        <v>2</v>
      </c>
      <c r="M77" s="121" t="s">
        <v>2</v>
      </c>
    </row>
    <row r="78" spans="1:13" ht="20.100000000000001" customHeight="1" x14ac:dyDescent="0.2">
      <c r="A78" s="130" t="s">
        <v>7</v>
      </c>
      <c r="B78" s="132" t="s">
        <v>1348</v>
      </c>
      <c r="C78" s="134" t="s">
        <v>1349</v>
      </c>
      <c r="D78" s="131">
        <v>126.5</v>
      </c>
      <c r="E78" s="121" t="s">
        <v>3</v>
      </c>
      <c r="F78" s="152" t="s">
        <v>3</v>
      </c>
      <c r="G78" s="121" t="s">
        <v>2</v>
      </c>
      <c r="H78" s="152" t="s">
        <v>2</v>
      </c>
      <c r="I78" s="121" t="s">
        <v>3</v>
      </c>
      <c r="J78" s="152" t="s">
        <v>3</v>
      </c>
      <c r="K78" s="121" t="s">
        <v>3</v>
      </c>
      <c r="L78" s="152" t="s">
        <v>3</v>
      </c>
      <c r="M78" s="121" t="s">
        <v>2</v>
      </c>
    </row>
    <row r="79" spans="1:13" ht="20.100000000000001" customHeight="1" x14ac:dyDescent="0.2">
      <c r="A79" s="130" t="s">
        <v>7</v>
      </c>
      <c r="B79" s="132" t="s">
        <v>1350</v>
      </c>
      <c r="C79" s="134" t="s">
        <v>1351</v>
      </c>
      <c r="D79" s="131">
        <v>126.5</v>
      </c>
      <c r="E79" s="121" t="s">
        <v>2</v>
      </c>
      <c r="F79" s="152" t="s">
        <v>2</v>
      </c>
      <c r="G79" s="121" t="s">
        <v>3</v>
      </c>
      <c r="H79" s="152" t="s">
        <v>3</v>
      </c>
      <c r="I79" s="121" t="s">
        <v>3</v>
      </c>
      <c r="J79" s="152" t="s">
        <v>3</v>
      </c>
      <c r="K79" s="121" t="s">
        <v>3</v>
      </c>
      <c r="L79" s="152" t="s">
        <v>3</v>
      </c>
      <c r="M79" s="121" t="s">
        <v>3</v>
      </c>
    </row>
    <row r="80" spans="1:13" ht="20.100000000000001" customHeight="1" x14ac:dyDescent="0.2">
      <c r="A80" s="130" t="s">
        <v>7</v>
      </c>
      <c r="B80" s="132" t="s">
        <v>2417</v>
      </c>
      <c r="C80" s="134" t="s">
        <v>2418</v>
      </c>
      <c r="D80" s="131">
        <v>126.5</v>
      </c>
      <c r="E80" s="121" t="s">
        <v>3</v>
      </c>
      <c r="F80" s="152" t="s">
        <v>3</v>
      </c>
      <c r="G80" s="121" t="s">
        <v>3</v>
      </c>
      <c r="H80" s="152" t="s">
        <v>3</v>
      </c>
      <c r="I80" s="121" t="s">
        <v>2</v>
      </c>
      <c r="J80" s="152" t="s">
        <v>3</v>
      </c>
      <c r="K80" s="121" t="s">
        <v>2</v>
      </c>
      <c r="L80" s="152" t="s">
        <v>2</v>
      </c>
      <c r="M80" s="121" t="s">
        <v>3</v>
      </c>
    </row>
    <row r="81" spans="1:13" ht="20.100000000000001" customHeight="1" x14ac:dyDescent="0.2">
      <c r="A81" s="130" t="s">
        <v>7</v>
      </c>
      <c r="B81" s="132" t="s">
        <v>1352</v>
      </c>
      <c r="C81" s="134" t="s">
        <v>1353</v>
      </c>
      <c r="D81" s="131">
        <v>290.39999999999998</v>
      </c>
      <c r="E81" s="121" t="s">
        <v>2</v>
      </c>
      <c r="F81" s="152" t="s">
        <v>2</v>
      </c>
      <c r="G81" s="121" t="s">
        <v>2</v>
      </c>
      <c r="H81" s="152" t="s">
        <v>2</v>
      </c>
      <c r="I81" s="121" t="s">
        <v>2</v>
      </c>
      <c r="J81" s="152" t="s">
        <v>3</v>
      </c>
      <c r="K81" s="121" t="s">
        <v>2</v>
      </c>
      <c r="L81" s="152" t="s">
        <v>2</v>
      </c>
      <c r="M81" s="121" t="s">
        <v>1762</v>
      </c>
    </row>
    <row r="82" spans="1:13" ht="20.100000000000001" customHeight="1" x14ac:dyDescent="0.2">
      <c r="A82" s="130" t="s">
        <v>7</v>
      </c>
      <c r="B82" s="132" t="s">
        <v>1358</v>
      </c>
      <c r="C82" s="134" t="s">
        <v>1359</v>
      </c>
      <c r="D82" s="131">
        <v>1057.79</v>
      </c>
      <c r="E82" s="121" t="s">
        <v>2</v>
      </c>
      <c r="F82" s="152" t="s">
        <v>2</v>
      </c>
      <c r="G82" s="121" t="s">
        <v>3</v>
      </c>
      <c r="H82" s="152" t="s">
        <v>3</v>
      </c>
      <c r="I82" s="121" t="s">
        <v>3</v>
      </c>
      <c r="J82" s="152" t="s">
        <v>3</v>
      </c>
      <c r="K82" s="121" t="s">
        <v>3</v>
      </c>
      <c r="L82" s="152" t="s">
        <v>3</v>
      </c>
      <c r="M82" s="121" t="s">
        <v>3</v>
      </c>
    </row>
    <row r="83" spans="1:13" ht="30" customHeight="1" x14ac:dyDescent="0.2">
      <c r="A83" s="130" t="s">
        <v>7</v>
      </c>
      <c r="B83" s="132" t="s">
        <v>1360</v>
      </c>
      <c r="C83" s="134" t="s">
        <v>1361</v>
      </c>
      <c r="D83" s="131">
        <v>594</v>
      </c>
      <c r="E83" s="121" t="s">
        <v>3</v>
      </c>
      <c r="F83" s="152" t="s">
        <v>3</v>
      </c>
      <c r="G83" s="121" t="s">
        <v>2</v>
      </c>
      <c r="H83" s="152" t="s">
        <v>2</v>
      </c>
      <c r="I83" s="121" t="s">
        <v>2</v>
      </c>
      <c r="J83" s="152" t="s">
        <v>3</v>
      </c>
      <c r="K83" s="121" t="s">
        <v>2</v>
      </c>
      <c r="L83" s="152" t="s">
        <v>2</v>
      </c>
      <c r="M83" s="121" t="s">
        <v>2</v>
      </c>
    </row>
    <row r="84" spans="1:13" ht="30" customHeight="1" x14ac:dyDescent="0.2">
      <c r="A84" s="130" t="s">
        <v>7</v>
      </c>
      <c r="B84" s="132" t="s">
        <v>1362</v>
      </c>
      <c r="C84" s="134" t="s">
        <v>1363</v>
      </c>
      <c r="D84" s="131">
        <v>1232</v>
      </c>
      <c r="E84" s="121" t="s">
        <v>3</v>
      </c>
      <c r="F84" s="152" t="s">
        <v>3</v>
      </c>
      <c r="G84" s="121" t="s">
        <v>2</v>
      </c>
      <c r="H84" s="152" t="s">
        <v>2</v>
      </c>
      <c r="I84" s="121" t="s">
        <v>2</v>
      </c>
      <c r="J84" s="152" t="s">
        <v>3</v>
      </c>
      <c r="K84" s="121" t="s">
        <v>2</v>
      </c>
      <c r="L84" s="152" t="s">
        <v>2</v>
      </c>
      <c r="M84" s="121" t="s">
        <v>2</v>
      </c>
    </row>
    <row r="85" spans="1:13" ht="30" customHeight="1" x14ac:dyDescent="0.2">
      <c r="A85" s="130" t="s">
        <v>7</v>
      </c>
      <c r="B85" s="132" t="s">
        <v>1364</v>
      </c>
      <c r="C85" s="134" t="s">
        <v>1365</v>
      </c>
      <c r="D85" s="131">
        <v>1886.5</v>
      </c>
      <c r="E85" s="121" t="s">
        <v>3</v>
      </c>
      <c r="F85" s="152" t="s">
        <v>3</v>
      </c>
      <c r="G85" s="121" t="s">
        <v>2</v>
      </c>
      <c r="H85" s="152" t="s">
        <v>2</v>
      </c>
      <c r="I85" s="121" t="s">
        <v>2</v>
      </c>
      <c r="J85" s="152" t="s">
        <v>3</v>
      </c>
      <c r="K85" s="121" t="s">
        <v>2</v>
      </c>
      <c r="L85" s="152" t="s">
        <v>2</v>
      </c>
      <c r="M85" s="121" t="s">
        <v>2</v>
      </c>
    </row>
    <row r="86" spans="1:13" ht="30" customHeight="1" x14ac:dyDescent="0.2">
      <c r="A86" s="130" t="s">
        <v>7</v>
      </c>
      <c r="B86" s="132" t="s">
        <v>1366</v>
      </c>
      <c r="C86" s="135" t="s">
        <v>1367</v>
      </c>
      <c r="D86" s="131">
        <v>2552</v>
      </c>
      <c r="E86" s="121" t="s">
        <v>3</v>
      </c>
      <c r="F86" s="152" t="s">
        <v>3</v>
      </c>
      <c r="G86" s="121" t="s">
        <v>2</v>
      </c>
      <c r="H86" s="152" t="s">
        <v>2</v>
      </c>
      <c r="I86" s="121" t="s">
        <v>2</v>
      </c>
      <c r="J86" s="152" t="s">
        <v>3</v>
      </c>
      <c r="K86" s="121" t="s">
        <v>2</v>
      </c>
      <c r="L86" s="152" t="s">
        <v>2</v>
      </c>
      <c r="M86" s="121" t="s">
        <v>2</v>
      </c>
    </row>
    <row r="87" spans="1:13" ht="20.100000000000001" customHeight="1" x14ac:dyDescent="0.2">
      <c r="A87" s="130" t="s">
        <v>7</v>
      </c>
      <c r="B87" s="132" t="s">
        <v>1369</v>
      </c>
      <c r="C87" s="134" t="s">
        <v>1370</v>
      </c>
      <c r="D87" s="131">
        <v>266.2</v>
      </c>
      <c r="E87" s="121" t="s">
        <v>3</v>
      </c>
      <c r="F87" s="152" t="s">
        <v>3</v>
      </c>
      <c r="G87" s="121" t="s">
        <v>3</v>
      </c>
      <c r="H87" s="152" t="s">
        <v>3</v>
      </c>
      <c r="I87" s="121" t="s">
        <v>3</v>
      </c>
      <c r="J87" s="152" t="s">
        <v>2</v>
      </c>
      <c r="K87" s="121" t="s">
        <v>3</v>
      </c>
      <c r="L87" s="152" t="s">
        <v>3</v>
      </c>
      <c r="M87" s="121" t="s">
        <v>3</v>
      </c>
    </row>
    <row r="88" spans="1:13" ht="20.100000000000001" customHeight="1" x14ac:dyDescent="0.2">
      <c r="A88" s="130" t="s">
        <v>7</v>
      </c>
      <c r="B88" s="132" t="s">
        <v>1371</v>
      </c>
      <c r="C88" s="134" t="s">
        <v>2421</v>
      </c>
      <c r="D88" s="131">
        <v>621.5</v>
      </c>
      <c r="E88" s="121" t="s">
        <v>3</v>
      </c>
      <c r="F88" s="152" t="s">
        <v>3</v>
      </c>
      <c r="G88" s="121" t="s">
        <v>2</v>
      </c>
      <c r="H88" s="152" t="s">
        <v>2</v>
      </c>
      <c r="I88" s="121" t="s">
        <v>3</v>
      </c>
      <c r="J88" s="152" t="s">
        <v>3</v>
      </c>
      <c r="K88" s="121" t="s">
        <v>3</v>
      </c>
      <c r="L88" s="152" t="s">
        <v>3</v>
      </c>
      <c r="M88" s="121" t="s">
        <v>3</v>
      </c>
    </row>
    <row r="89" spans="1:13" ht="20.100000000000001" customHeight="1" x14ac:dyDescent="0.2">
      <c r="A89" s="130" t="s">
        <v>7</v>
      </c>
      <c r="B89" s="132" t="s">
        <v>1372</v>
      </c>
      <c r="C89" s="134" t="s">
        <v>1373</v>
      </c>
      <c r="D89" s="131">
        <v>724.9</v>
      </c>
      <c r="E89" s="121" t="s">
        <v>3</v>
      </c>
      <c r="F89" s="152" t="s">
        <v>3</v>
      </c>
      <c r="G89" s="121" t="s">
        <v>2</v>
      </c>
      <c r="H89" s="152" t="s">
        <v>2</v>
      </c>
      <c r="I89" s="121" t="s">
        <v>3</v>
      </c>
      <c r="J89" s="152" t="s">
        <v>3</v>
      </c>
      <c r="K89" s="121" t="s">
        <v>3</v>
      </c>
      <c r="L89" s="152" t="s">
        <v>3</v>
      </c>
      <c r="M89" s="121" t="s">
        <v>3</v>
      </c>
    </row>
    <row r="90" spans="1:13" ht="20.100000000000001" customHeight="1" x14ac:dyDescent="0.2">
      <c r="A90" s="130" t="s">
        <v>7</v>
      </c>
      <c r="B90" s="132" t="s">
        <v>1374</v>
      </c>
      <c r="C90" s="134" t="s">
        <v>1375</v>
      </c>
      <c r="D90" s="131">
        <v>1397</v>
      </c>
      <c r="E90" s="121" t="s">
        <v>3</v>
      </c>
      <c r="F90" s="152" t="s">
        <v>3</v>
      </c>
      <c r="G90" s="121" t="s">
        <v>2</v>
      </c>
      <c r="H90" s="152" t="s">
        <v>2</v>
      </c>
      <c r="I90" s="121" t="s">
        <v>3</v>
      </c>
      <c r="J90" s="152" t="s">
        <v>3</v>
      </c>
      <c r="K90" s="121" t="s">
        <v>3</v>
      </c>
      <c r="L90" s="152" t="s">
        <v>3</v>
      </c>
      <c r="M90" s="121" t="s">
        <v>3</v>
      </c>
    </row>
    <row r="91" spans="1:13" ht="20.100000000000001" customHeight="1" x14ac:dyDescent="0.2">
      <c r="A91" s="130" t="s">
        <v>7</v>
      </c>
      <c r="B91" s="132" t="s">
        <v>1376</v>
      </c>
      <c r="C91" s="134" t="s">
        <v>1377</v>
      </c>
      <c r="D91" s="131">
        <v>68.2</v>
      </c>
      <c r="E91" s="121" t="s">
        <v>3</v>
      </c>
      <c r="F91" s="152" t="s">
        <v>3</v>
      </c>
      <c r="G91" s="121" t="s">
        <v>2</v>
      </c>
      <c r="H91" s="152" t="s">
        <v>2</v>
      </c>
      <c r="I91" s="121" t="s">
        <v>3</v>
      </c>
      <c r="J91" s="152" t="s">
        <v>3</v>
      </c>
      <c r="K91" s="121" t="s">
        <v>3</v>
      </c>
      <c r="L91" s="152" t="s">
        <v>3</v>
      </c>
      <c r="M91" s="121" t="s">
        <v>3</v>
      </c>
    </row>
    <row r="92" spans="1:13" ht="20.100000000000001" customHeight="1" x14ac:dyDescent="0.2">
      <c r="A92" s="130" t="s">
        <v>7</v>
      </c>
      <c r="B92" s="132" t="s">
        <v>0</v>
      </c>
      <c r="C92" s="134" t="s">
        <v>1385</v>
      </c>
      <c r="D92" s="131">
        <v>0</v>
      </c>
      <c r="E92" s="121" t="s">
        <v>1762</v>
      </c>
      <c r="F92" s="152" t="s">
        <v>1762</v>
      </c>
      <c r="G92" s="121" t="s">
        <v>1762</v>
      </c>
      <c r="H92" s="152" t="s">
        <v>1762</v>
      </c>
      <c r="I92" s="121" t="s">
        <v>1762</v>
      </c>
      <c r="J92" s="152" t="s">
        <v>1762</v>
      </c>
      <c r="K92" s="121" t="s">
        <v>1762</v>
      </c>
      <c r="L92" s="152" t="s">
        <v>1762</v>
      </c>
      <c r="M92" s="121" t="s">
        <v>1762</v>
      </c>
    </row>
    <row r="93" spans="1:13" ht="20.100000000000001" customHeight="1" x14ac:dyDescent="0.2">
      <c r="A93" s="130" t="s">
        <v>7</v>
      </c>
      <c r="B93" s="132" t="s">
        <v>0</v>
      </c>
      <c r="C93" s="134" t="s">
        <v>1386</v>
      </c>
      <c r="D93" s="131">
        <v>0</v>
      </c>
      <c r="E93" s="121" t="s">
        <v>1762</v>
      </c>
      <c r="F93" s="152" t="s">
        <v>1762</v>
      </c>
      <c r="G93" s="121" t="s">
        <v>1762</v>
      </c>
      <c r="H93" s="152" t="s">
        <v>1762</v>
      </c>
      <c r="I93" s="121" t="s">
        <v>1762</v>
      </c>
      <c r="J93" s="152" t="s">
        <v>1762</v>
      </c>
      <c r="K93" s="121" t="s">
        <v>1762</v>
      </c>
      <c r="L93" s="152" t="s">
        <v>1762</v>
      </c>
      <c r="M93" s="121" t="s">
        <v>1762</v>
      </c>
    </row>
    <row r="94" spans="1:13" ht="20.100000000000001" customHeight="1" x14ac:dyDescent="0.2">
      <c r="A94" s="130" t="s">
        <v>7</v>
      </c>
      <c r="B94" s="132" t="s">
        <v>0</v>
      </c>
      <c r="C94" s="134" t="s">
        <v>1387</v>
      </c>
      <c r="D94" s="131">
        <v>0</v>
      </c>
      <c r="E94" s="121" t="s">
        <v>1762</v>
      </c>
      <c r="F94" s="152" t="s">
        <v>1762</v>
      </c>
      <c r="G94" s="121" t="s">
        <v>1762</v>
      </c>
      <c r="H94" s="152" t="s">
        <v>1762</v>
      </c>
      <c r="I94" s="121" t="s">
        <v>1762</v>
      </c>
      <c r="J94" s="152" t="s">
        <v>1762</v>
      </c>
      <c r="K94" s="121" t="s">
        <v>1762</v>
      </c>
      <c r="L94" s="152" t="s">
        <v>1762</v>
      </c>
      <c r="M94" s="121" t="s">
        <v>1762</v>
      </c>
    </row>
    <row r="95" spans="1:13" ht="20.100000000000001" customHeight="1" x14ac:dyDescent="0.2">
      <c r="A95" s="130" t="s">
        <v>7</v>
      </c>
      <c r="B95" s="132"/>
      <c r="C95" s="134" t="s">
        <v>1378</v>
      </c>
      <c r="D95" s="131">
        <v>58.3</v>
      </c>
      <c r="E95" s="121" t="s">
        <v>3</v>
      </c>
      <c r="F95" s="152" t="s">
        <v>3</v>
      </c>
      <c r="G95" s="121" t="s">
        <v>3</v>
      </c>
      <c r="H95" s="152" t="s">
        <v>3</v>
      </c>
      <c r="I95" s="121" t="s">
        <v>3</v>
      </c>
      <c r="J95" s="152" t="s">
        <v>2</v>
      </c>
      <c r="K95" s="121" t="s">
        <v>3</v>
      </c>
      <c r="L95" s="152" t="s">
        <v>3</v>
      </c>
      <c r="M95" s="121" t="s">
        <v>3</v>
      </c>
    </row>
    <row r="96" spans="1:13" ht="20.100000000000001" customHeight="1" x14ac:dyDescent="0.2">
      <c r="A96" s="130" t="s">
        <v>7</v>
      </c>
      <c r="B96" s="132" t="s">
        <v>1379</v>
      </c>
      <c r="C96" s="134" t="s">
        <v>1380</v>
      </c>
      <c r="D96" s="131">
        <v>135.30000000000001</v>
      </c>
      <c r="E96" s="121" t="s">
        <v>3</v>
      </c>
      <c r="F96" s="152" t="s">
        <v>3</v>
      </c>
      <c r="G96" s="121" t="s">
        <v>2</v>
      </c>
      <c r="H96" s="152" t="s">
        <v>2</v>
      </c>
      <c r="I96" s="121" t="s">
        <v>3</v>
      </c>
      <c r="J96" s="152" t="s">
        <v>3</v>
      </c>
      <c r="K96" s="121" t="s">
        <v>3</v>
      </c>
      <c r="L96" s="152" t="s">
        <v>3</v>
      </c>
      <c r="M96" s="121" t="s">
        <v>3</v>
      </c>
    </row>
    <row r="97" spans="1:13" ht="20.100000000000001" customHeight="1" x14ac:dyDescent="0.2">
      <c r="A97" s="130" t="s">
        <v>7</v>
      </c>
      <c r="B97" s="132" t="s">
        <v>1381</v>
      </c>
      <c r="C97" s="134" t="s">
        <v>1382</v>
      </c>
      <c r="D97" s="131">
        <v>134.19999999999999</v>
      </c>
      <c r="E97" s="121" t="s">
        <v>3</v>
      </c>
      <c r="F97" s="152" t="s">
        <v>3</v>
      </c>
      <c r="G97" s="121" t="s">
        <v>3</v>
      </c>
      <c r="H97" s="152" t="s">
        <v>3</v>
      </c>
      <c r="I97" s="121" t="s">
        <v>3</v>
      </c>
      <c r="J97" s="152" t="s">
        <v>2</v>
      </c>
      <c r="K97" s="121" t="s">
        <v>3</v>
      </c>
      <c r="L97" s="152" t="s">
        <v>3</v>
      </c>
      <c r="M97" s="121" t="s">
        <v>3</v>
      </c>
    </row>
    <row r="98" spans="1:13" ht="20.100000000000001" customHeight="1" x14ac:dyDescent="0.2">
      <c r="A98" s="130" t="s">
        <v>7</v>
      </c>
      <c r="B98" s="132" t="s">
        <v>1383</v>
      </c>
      <c r="C98" s="134" t="s">
        <v>1384</v>
      </c>
      <c r="D98" s="131">
        <v>264</v>
      </c>
      <c r="E98" s="121" t="s">
        <v>3</v>
      </c>
      <c r="F98" s="152" t="s">
        <v>3</v>
      </c>
      <c r="G98" s="121" t="s">
        <v>3</v>
      </c>
      <c r="H98" s="152" t="s">
        <v>3</v>
      </c>
      <c r="I98" s="121" t="s">
        <v>3</v>
      </c>
      <c r="J98" s="152" t="s">
        <v>2</v>
      </c>
      <c r="K98" s="121" t="s">
        <v>3</v>
      </c>
      <c r="L98" s="152" t="s">
        <v>3</v>
      </c>
      <c r="M98" s="121" t="s">
        <v>3</v>
      </c>
    </row>
    <row r="99" spans="1:13" ht="29.25" customHeight="1" x14ac:dyDescent="0.2">
      <c r="A99" s="123" t="s">
        <v>8</v>
      </c>
      <c r="B99" s="123" t="s">
        <v>0</v>
      </c>
      <c r="C99" s="143" t="s">
        <v>906</v>
      </c>
      <c r="D99" s="123" t="s">
        <v>0</v>
      </c>
      <c r="E99" s="122" t="str">
        <f ca="1">INDIRECT("Data!$H"&amp;COLUMN()+80)</f>
        <v>M 320F</v>
      </c>
      <c r="F99" s="122" t="str">
        <f t="shared" ref="F99:M99" ca="1" si="3">INDIRECT("Data!$H"&amp;COLUMN()+80)</f>
        <v>IM 3000</v>
      </c>
      <c r="G99" s="122" t="str">
        <f t="shared" ca="1" si="3"/>
        <v>MP 305+SPF</v>
      </c>
      <c r="H99" s="122" t="str">
        <f t="shared" ca="1" si="3"/>
        <v>IM 4000</v>
      </c>
      <c r="I99" s="122" t="str">
        <f t="shared" ca="1" si="3"/>
        <v>IM 550F</v>
      </c>
      <c r="J99" s="122" t="str">
        <f t="shared" ca="1" si="3"/>
        <v>IM 430F</v>
      </c>
      <c r="K99" s="122" t="str">
        <f t="shared" ca="1" si="3"/>
        <v>IM 6000</v>
      </c>
      <c r="L99" s="122" t="str">
        <f t="shared" ca="1" si="3"/>
        <v>IM 7000</v>
      </c>
      <c r="M99" s="122" t="str">
        <f t="shared" ca="1" si="3"/>
        <v>IM 9000</v>
      </c>
    </row>
    <row r="100" spans="1:13" ht="36.75" customHeight="1" x14ac:dyDescent="0.2">
      <c r="A100" s="130" t="s">
        <v>8</v>
      </c>
      <c r="B100" s="130" t="s">
        <v>2245</v>
      </c>
      <c r="C100" s="249" t="s">
        <v>2244</v>
      </c>
      <c r="D100" s="131">
        <f>(1271.16+102.6)*1.1</f>
        <v>1511.1360000000002</v>
      </c>
      <c r="E100" s="121" t="s">
        <v>3</v>
      </c>
      <c r="F100" s="152" t="s">
        <v>2</v>
      </c>
      <c r="G100" s="121" t="s">
        <v>3</v>
      </c>
      <c r="H100" s="152" t="s">
        <v>2</v>
      </c>
      <c r="I100" s="121" t="s">
        <v>3</v>
      </c>
      <c r="J100" s="121" t="s">
        <v>3</v>
      </c>
      <c r="K100" s="121" t="s">
        <v>2</v>
      </c>
      <c r="L100" s="121" t="s">
        <v>3</v>
      </c>
      <c r="M100" s="121" t="s">
        <v>3</v>
      </c>
    </row>
    <row r="101" spans="1:13" ht="36.75" customHeight="1" x14ac:dyDescent="0.2">
      <c r="A101" s="130" t="s">
        <v>8</v>
      </c>
      <c r="B101" s="132" t="s">
        <v>2243</v>
      </c>
      <c r="C101" s="135" t="s">
        <v>2242</v>
      </c>
      <c r="D101" s="131">
        <f>(549.72+102.6)*1.1</f>
        <v>717.55200000000013</v>
      </c>
      <c r="E101" s="121" t="s">
        <v>3</v>
      </c>
      <c r="F101" s="152" t="s">
        <v>2</v>
      </c>
      <c r="G101" s="121" t="s">
        <v>3</v>
      </c>
      <c r="H101" s="152" t="s">
        <v>2</v>
      </c>
      <c r="I101" s="121" t="s">
        <v>3</v>
      </c>
      <c r="J101" s="121" t="s">
        <v>3</v>
      </c>
      <c r="K101" s="121" t="s">
        <v>2</v>
      </c>
      <c r="L101" s="121" t="s">
        <v>3</v>
      </c>
      <c r="M101" s="121" t="s">
        <v>3</v>
      </c>
    </row>
    <row r="102" spans="1:13" ht="36.75" customHeight="1" x14ac:dyDescent="0.2">
      <c r="A102" s="130" t="s">
        <v>8</v>
      </c>
      <c r="B102" s="132" t="s">
        <v>2241</v>
      </c>
      <c r="C102" s="135" t="s">
        <v>2240</v>
      </c>
      <c r="D102" s="131">
        <f>348.84*1.1</f>
        <v>383.72399999999999</v>
      </c>
      <c r="E102" s="121" t="s">
        <v>3</v>
      </c>
      <c r="F102" s="152" t="s">
        <v>2</v>
      </c>
      <c r="G102" s="121" t="s">
        <v>3</v>
      </c>
      <c r="H102" s="152" t="s">
        <v>3</v>
      </c>
      <c r="I102" s="121" t="s">
        <v>3</v>
      </c>
      <c r="J102" s="121" t="s">
        <v>3</v>
      </c>
      <c r="K102" s="121" t="s">
        <v>3</v>
      </c>
      <c r="L102" s="121" t="s">
        <v>3</v>
      </c>
      <c r="M102" s="121" t="s">
        <v>3</v>
      </c>
    </row>
    <row r="103" spans="1:13" ht="36.75" customHeight="1" x14ac:dyDescent="0.2">
      <c r="A103" s="130" t="s">
        <v>8</v>
      </c>
      <c r="B103" s="132" t="s">
        <v>2239</v>
      </c>
      <c r="C103" s="135" t="s">
        <v>2238</v>
      </c>
      <c r="D103" s="131">
        <f>446.04*1.1</f>
        <v>490.64400000000006</v>
      </c>
      <c r="E103" s="121" t="s">
        <v>3</v>
      </c>
      <c r="F103" s="152" t="s">
        <v>2</v>
      </c>
      <c r="G103" s="121" t="s">
        <v>3</v>
      </c>
      <c r="H103" s="152" t="s">
        <v>2</v>
      </c>
      <c r="I103" s="121" t="s">
        <v>3</v>
      </c>
      <c r="J103" s="121" t="s">
        <v>3</v>
      </c>
      <c r="K103" s="121" t="s">
        <v>3</v>
      </c>
      <c r="L103" s="121" t="s">
        <v>3</v>
      </c>
      <c r="M103" s="121" t="s">
        <v>3</v>
      </c>
    </row>
    <row r="104" spans="1:13" ht="36.75" customHeight="1" x14ac:dyDescent="0.2">
      <c r="A104" s="130" t="s">
        <v>8</v>
      </c>
      <c r="B104" s="132" t="s">
        <v>2237</v>
      </c>
      <c r="C104" s="135" t="s">
        <v>2236</v>
      </c>
      <c r="D104" s="131">
        <f>(1462.32+102.6)*1.1</f>
        <v>1721.412</v>
      </c>
      <c r="E104" s="243" t="s">
        <v>3</v>
      </c>
      <c r="F104" s="152" t="s">
        <v>3</v>
      </c>
      <c r="G104" s="121" t="s">
        <v>3</v>
      </c>
      <c r="H104" s="152" t="s">
        <v>2</v>
      </c>
      <c r="I104" s="121" t="s">
        <v>3</v>
      </c>
      <c r="J104" s="152" t="s">
        <v>3</v>
      </c>
      <c r="K104" s="121" t="s">
        <v>2</v>
      </c>
      <c r="L104" s="152" t="s">
        <v>3</v>
      </c>
      <c r="M104" s="121" t="s">
        <v>3</v>
      </c>
    </row>
    <row r="105" spans="1:13" ht="36.75" customHeight="1" x14ac:dyDescent="0.2">
      <c r="A105" s="130" t="s">
        <v>8</v>
      </c>
      <c r="B105" s="132" t="s">
        <v>2173</v>
      </c>
      <c r="C105" s="135" t="s">
        <v>2235</v>
      </c>
      <c r="D105" s="131">
        <f>1159.92*1.1</f>
        <v>1275.9120000000003</v>
      </c>
      <c r="E105" s="243" t="s">
        <v>3</v>
      </c>
      <c r="F105" s="243" t="s">
        <v>3</v>
      </c>
      <c r="G105" s="243" t="s">
        <v>3</v>
      </c>
      <c r="H105" s="243" t="s">
        <v>3</v>
      </c>
      <c r="I105" s="243" t="s">
        <v>3</v>
      </c>
      <c r="J105" s="243" t="s">
        <v>3</v>
      </c>
      <c r="K105" s="243" t="s">
        <v>3</v>
      </c>
      <c r="L105" s="152" t="s">
        <v>2</v>
      </c>
      <c r="M105" s="121" t="s">
        <v>2</v>
      </c>
    </row>
    <row r="106" spans="1:13" ht="36.75" customHeight="1" x14ac:dyDescent="0.2">
      <c r="A106" s="130" t="s">
        <v>8</v>
      </c>
      <c r="B106" s="132" t="s">
        <v>2171</v>
      </c>
      <c r="C106" s="135" t="s">
        <v>2234</v>
      </c>
      <c r="D106" s="131">
        <f>2215.08*1.1</f>
        <v>2436.5880000000002</v>
      </c>
      <c r="E106" s="243" t="s">
        <v>3</v>
      </c>
      <c r="F106" s="243" t="s">
        <v>3</v>
      </c>
      <c r="G106" s="243" t="s">
        <v>3</v>
      </c>
      <c r="H106" s="243" t="s">
        <v>3</v>
      </c>
      <c r="I106" s="243" t="s">
        <v>3</v>
      </c>
      <c r="J106" s="243" t="s">
        <v>3</v>
      </c>
      <c r="K106" s="243" t="s">
        <v>3</v>
      </c>
      <c r="L106" s="152" t="s">
        <v>2</v>
      </c>
      <c r="M106" s="121" t="s">
        <v>2</v>
      </c>
    </row>
    <row r="107" spans="1:13" ht="36.75" customHeight="1" x14ac:dyDescent="0.2">
      <c r="A107" s="130" t="s">
        <v>8</v>
      </c>
      <c r="B107" s="132" t="s">
        <v>2169</v>
      </c>
      <c r="C107" s="135" t="s">
        <v>2233</v>
      </c>
      <c r="D107" s="131">
        <f>2757.24*1.1</f>
        <v>3032.9639999999999</v>
      </c>
      <c r="E107" s="243" t="s">
        <v>3</v>
      </c>
      <c r="F107" s="243" t="s">
        <v>3</v>
      </c>
      <c r="G107" s="243" t="s">
        <v>3</v>
      </c>
      <c r="H107" s="243" t="s">
        <v>3</v>
      </c>
      <c r="I107" s="243" t="s">
        <v>3</v>
      </c>
      <c r="J107" s="243" t="s">
        <v>3</v>
      </c>
      <c r="K107" s="243" t="s">
        <v>3</v>
      </c>
      <c r="L107" s="152" t="s">
        <v>2</v>
      </c>
      <c r="M107" s="121" t="s">
        <v>2</v>
      </c>
    </row>
    <row r="108" spans="1:13" ht="36.75" customHeight="1" x14ac:dyDescent="0.2">
      <c r="A108" s="130" t="s">
        <v>8</v>
      </c>
      <c r="B108" s="132" t="s">
        <v>2232</v>
      </c>
      <c r="C108" s="135" t="s">
        <v>2231</v>
      </c>
      <c r="D108" s="131">
        <f>(1202.04+102.6)*1.1</f>
        <v>1435.104</v>
      </c>
      <c r="E108" s="121" t="s">
        <v>3</v>
      </c>
      <c r="F108" s="152" t="s">
        <v>3</v>
      </c>
      <c r="G108" s="121" t="s">
        <v>3</v>
      </c>
      <c r="H108" s="152" t="s">
        <v>2</v>
      </c>
      <c r="I108" s="121" t="s">
        <v>3</v>
      </c>
      <c r="J108" s="152" t="s">
        <v>3</v>
      </c>
      <c r="K108" s="121" t="s">
        <v>2</v>
      </c>
      <c r="L108" s="152" t="s">
        <v>3</v>
      </c>
      <c r="M108" s="121" t="s">
        <v>3</v>
      </c>
    </row>
    <row r="109" spans="1:13" ht="36.75" customHeight="1" x14ac:dyDescent="0.2">
      <c r="A109" s="130" t="s">
        <v>8</v>
      </c>
      <c r="B109" s="132" t="s">
        <v>2161</v>
      </c>
      <c r="C109" s="135" t="s">
        <v>2230</v>
      </c>
      <c r="D109" s="131">
        <f>320.76*1.1</f>
        <v>352.83600000000001</v>
      </c>
      <c r="E109" s="243" t="s">
        <v>3</v>
      </c>
      <c r="F109" s="152" t="s">
        <v>3</v>
      </c>
      <c r="G109" s="121" t="s">
        <v>3</v>
      </c>
      <c r="H109" s="152" t="s">
        <v>2</v>
      </c>
      <c r="I109" s="121" t="s">
        <v>3</v>
      </c>
      <c r="J109" s="152" t="s">
        <v>3</v>
      </c>
      <c r="K109" s="121" t="s">
        <v>2</v>
      </c>
      <c r="L109" s="152" t="s">
        <v>2</v>
      </c>
      <c r="M109" s="121" t="s">
        <v>2</v>
      </c>
    </row>
    <row r="110" spans="1:13" ht="36.75" customHeight="1" x14ac:dyDescent="0.2">
      <c r="A110" s="130" t="s">
        <v>8</v>
      </c>
      <c r="B110" s="132" t="s">
        <v>2165</v>
      </c>
      <c r="C110" s="135" t="s">
        <v>2229</v>
      </c>
      <c r="D110" s="131">
        <f>253.8*1.1</f>
        <v>279.18</v>
      </c>
      <c r="E110" s="121" t="s">
        <v>3</v>
      </c>
      <c r="F110" s="152" t="s">
        <v>2</v>
      </c>
      <c r="G110" s="121" t="s">
        <v>3</v>
      </c>
      <c r="H110" s="152" t="s">
        <v>2</v>
      </c>
      <c r="I110" s="121" t="s">
        <v>3</v>
      </c>
      <c r="J110" s="152" t="s">
        <v>3</v>
      </c>
      <c r="K110" s="121" t="s">
        <v>2</v>
      </c>
      <c r="L110" s="152" t="s">
        <v>3</v>
      </c>
      <c r="M110" s="121" t="s">
        <v>3</v>
      </c>
    </row>
    <row r="111" spans="1:13" ht="36.75" customHeight="1" x14ac:dyDescent="0.2">
      <c r="A111" s="130" t="s">
        <v>8</v>
      </c>
      <c r="B111" s="132" t="s">
        <v>2228</v>
      </c>
      <c r="C111" s="135" t="s">
        <v>2227</v>
      </c>
      <c r="D111" s="131">
        <f>446.04*1.1</f>
        <v>490.64400000000006</v>
      </c>
      <c r="E111" s="121" t="s">
        <v>3</v>
      </c>
      <c r="F111" s="152" t="s">
        <v>2</v>
      </c>
      <c r="G111" s="121" t="s">
        <v>3</v>
      </c>
      <c r="H111" s="152" t="s">
        <v>2</v>
      </c>
      <c r="I111" s="121" t="s">
        <v>3</v>
      </c>
      <c r="J111" s="152" t="s">
        <v>3</v>
      </c>
      <c r="K111" s="121" t="s">
        <v>3</v>
      </c>
      <c r="L111" s="152" t="s">
        <v>3</v>
      </c>
      <c r="M111" s="121" t="s">
        <v>3</v>
      </c>
    </row>
    <row r="112" spans="1:13" ht="36.75" customHeight="1" x14ac:dyDescent="0.2">
      <c r="A112" s="130" t="s">
        <v>8</v>
      </c>
      <c r="B112" s="132" t="s">
        <v>2159</v>
      </c>
      <c r="C112" s="135" t="s">
        <v>2226</v>
      </c>
      <c r="D112" s="131">
        <f>412.56*1.1</f>
        <v>453.81600000000003</v>
      </c>
      <c r="E112" s="121" t="s">
        <v>3</v>
      </c>
      <c r="F112" s="121" t="s">
        <v>3</v>
      </c>
      <c r="G112" s="121" t="s">
        <v>3</v>
      </c>
      <c r="H112" s="121" t="s">
        <v>3</v>
      </c>
      <c r="I112" s="121" t="s">
        <v>3</v>
      </c>
      <c r="J112" s="121" t="s">
        <v>3</v>
      </c>
      <c r="K112" s="121" t="s">
        <v>3</v>
      </c>
      <c r="L112" s="152" t="s">
        <v>2</v>
      </c>
      <c r="M112" s="121" t="s">
        <v>2</v>
      </c>
    </row>
    <row r="113" spans="1:13" ht="36.75" customHeight="1" x14ac:dyDescent="0.2">
      <c r="A113" s="130" t="s">
        <v>8</v>
      </c>
      <c r="B113" s="132" t="s">
        <v>2225</v>
      </c>
      <c r="C113" s="135" t="s">
        <v>2224</v>
      </c>
      <c r="D113" s="131">
        <f>437.4*1.1</f>
        <v>481.14</v>
      </c>
      <c r="E113" s="121" t="s">
        <v>3</v>
      </c>
      <c r="F113" s="152" t="s">
        <v>2</v>
      </c>
      <c r="G113" s="121" t="s">
        <v>3</v>
      </c>
      <c r="H113" s="152" t="s">
        <v>2</v>
      </c>
      <c r="I113" s="121" t="s">
        <v>3</v>
      </c>
      <c r="J113" s="152" t="s">
        <v>3</v>
      </c>
      <c r="K113" s="121" t="s">
        <v>2</v>
      </c>
      <c r="L113" s="152" t="s">
        <v>3</v>
      </c>
      <c r="M113" s="121" t="s">
        <v>3</v>
      </c>
    </row>
    <row r="114" spans="1:13" ht="36.75" customHeight="1" x14ac:dyDescent="0.2">
      <c r="A114" s="130" t="s">
        <v>8</v>
      </c>
      <c r="B114" s="132" t="s">
        <v>2223</v>
      </c>
      <c r="C114" s="135" t="s">
        <v>2222</v>
      </c>
      <c r="D114" s="131">
        <f>629.64*1.1</f>
        <v>692.60400000000004</v>
      </c>
      <c r="E114" s="121" t="s">
        <v>3</v>
      </c>
      <c r="F114" s="152" t="s">
        <v>2</v>
      </c>
      <c r="G114" s="121" t="s">
        <v>3</v>
      </c>
      <c r="H114" s="152" t="s">
        <v>2</v>
      </c>
      <c r="I114" s="121" t="s">
        <v>3</v>
      </c>
      <c r="J114" s="152" t="s">
        <v>3</v>
      </c>
      <c r="K114" s="121" t="s">
        <v>2</v>
      </c>
      <c r="L114" s="152" t="s">
        <v>3</v>
      </c>
      <c r="M114" s="121" t="s">
        <v>3</v>
      </c>
    </row>
    <row r="115" spans="1:13" ht="36.75" customHeight="1" x14ac:dyDescent="0.2">
      <c r="A115" s="130" t="s">
        <v>8</v>
      </c>
      <c r="B115" s="132" t="s">
        <v>2221</v>
      </c>
      <c r="C115" s="135" t="s">
        <v>2220</v>
      </c>
      <c r="D115" s="131">
        <f>386.64*1.1</f>
        <v>425.30400000000003</v>
      </c>
      <c r="E115" s="121" t="s">
        <v>3</v>
      </c>
      <c r="F115" s="152" t="s">
        <v>2</v>
      </c>
      <c r="G115" s="121" t="s">
        <v>3</v>
      </c>
      <c r="H115" s="152" t="s">
        <v>2</v>
      </c>
      <c r="I115" s="121" t="s">
        <v>3</v>
      </c>
      <c r="J115" s="152" t="s">
        <v>3</v>
      </c>
      <c r="K115" s="121" t="s">
        <v>2</v>
      </c>
      <c r="L115" s="152" t="s">
        <v>3</v>
      </c>
      <c r="M115" s="121" t="s">
        <v>3</v>
      </c>
    </row>
    <row r="116" spans="1:13" ht="36.75" customHeight="1" x14ac:dyDescent="0.2">
      <c r="A116" s="130" t="s">
        <v>8</v>
      </c>
      <c r="B116" s="132" t="s">
        <v>2219</v>
      </c>
      <c r="C116" s="135" t="s">
        <v>2218</v>
      </c>
      <c r="D116" s="131">
        <f>178.2*1.1</f>
        <v>196.02</v>
      </c>
      <c r="E116" s="121" t="s">
        <v>2</v>
      </c>
      <c r="F116" s="152" t="s">
        <v>3</v>
      </c>
      <c r="G116" s="152" t="s">
        <v>3</v>
      </c>
      <c r="H116" s="152" t="s">
        <v>3</v>
      </c>
      <c r="I116" s="152" t="s">
        <v>3</v>
      </c>
      <c r="J116" s="152" t="s">
        <v>3</v>
      </c>
      <c r="K116" s="152" t="s">
        <v>3</v>
      </c>
      <c r="L116" s="152" t="s">
        <v>3</v>
      </c>
      <c r="M116" s="152" t="s">
        <v>3</v>
      </c>
    </row>
    <row r="117" spans="1:13" ht="36.75" customHeight="1" x14ac:dyDescent="0.2">
      <c r="A117" s="130" t="s">
        <v>8</v>
      </c>
      <c r="B117" s="132" t="s">
        <v>2217</v>
      </c>
      <c r="C117" s="135" t="s">
        <v>2216</v>
      </c>
      <c r="D117" s="131">
        <f>135*1.1</f>
        <v>148.5</v>
      </c>
      <c r="E117" s="121" t="s">
        <v>3</v>
      </c>
      <c r="F117" s="152" t="s">
        <v>3</v>
      </c>
      <c r="G117" s="121" t="s">
        <v>2</v>
      </c>
      <c r="H117" s="152" t="s">
        <v>3</v>
      </c>
      <c r="I117" s="121" t="s">
        <v>3</v>
      </c>
      <c r="J117" s="152" t="s">
        <v>3</v>
      </c>
      <c r="K117" s="152" t="s">
        <v>3</v>
      </c>
      <c r="L117" s="152" t="s">
        <v>3</v>
      </c>
      <c r="M117" s="152" t="s">
        <v>3</v>
      </c>
    </row>
    <row r="118" spans="1:13" ht="36.75" customHeight="1" x14ac:dyDescent="0.2">
      <c r="A118" s="130" t="s">
        <v>8</v>
      </c>
      <c r="B118" s="132" t="s">
        <v>2215</v>
      </c>
      <c r="C118" s="135" t="s">
        <v>2214</v>
      </c>
      <c r="D118" s="131">
        <f>282.96*1.1</f>
        <v>311.25600000000003</v>
      </c>
      <c r="E118" s="121" t="s">
        <v>3</v>
      </c>
      <c r="F118" s="152" t="s">
        <v>3</v>
      </c>
      <c r="G118" s="121" t="s">
        <v>3</v>
      </c>
      <c r="H118" s="152" t="s">
        <v>3</v>
      </c>
      <c r="I118" s="121" t="s">
        <v>2</v>
      </c>
      <c r="J118" s="152" t="s">
        <v>3</v>
      </c>
      <c r="K118" s="121" t="s">
        <v>3</v>
      </c>
      <c r="L118" s="152" t="s">
        <v>3</v>
      </c>
      <c r="M118" s="121" t="s">
        <v>3</v>
      </c>
    </row>
    <row r="119" spans="1:13" ht="36.75" customHeight="1" x14ac:dyDescent="0.2">
      <c r="A119" s="130" t="s">
        <v>8</v>
      </c>
      <c r="B119" s="132" t="s">
        <v>2213</v>
      </c>
      <c r="C119" s="135" t="s">
        <v>2212</v>
      </c>
      <c r="D119" s="131">
        <f>563.76*1.1</f>
        <v>620.13600000000008</v>
      </c>
      <c r="E119" s="121" t="s">
        <v>3</v>
      </c>
      <c r="F119" s="152" t="s">
        <v>3</v>
      </c>
      <c r="G119" s="121" t="s">
        <v>3</v>
      </c>
      <c r="H119" s="152" t="s">
        <v>3</v>
      </c>
      <c r="I119" s="121" t="s">
        <v>3</v>
      </c>
      <c r="J119" s="152" t="s">
        <v>3</v>
      </c>
      <c r="K119" s="121" t="s">
        <v>3</v>
      </c>
      <c r="L119" s="152" t="s">
        <v>2</v>
      </c>
      <c r="M119" s="121" t="s">
        <v>2</v>
      </c>
    </row>
    <row r="120" spans="1:13" ht="36.75" customHeight="1" x14ac:dyDescent="0.2">
      <c r="A120" s="130" t="s">
        <v>8</v>
      </c>
      <c r="B120" s="132" t="s">
        <v>2211</v>
      </c>
      <c r="C120" s="135" t="s">
        <v>2210</v>
      </c>
      <c r="D120" s="131">
        <f>343.44*1.1</f>
        <v>377.78400000000005</v>
      </c>
      <c r="E120" s="121" t="s">
        <v>3</v>
      </c>
      <c r="F120" s="152" t="s">
        <v>2</v>
      </c>
      <c r="G120" s="121" t="s">
        <v>1762</v>
      </c>
      <c r="H120" s="152" t="s">
        <v>2</v>
      </c>
      <c r="I120" s="121" t="s">
        <v>1762</v>
      </c>
      <c r="J120" s="152" t="s">
        <v>3</v>
      </c>
      <c r="K120" s="121" t="s">
        <v>2</v>
      </c>
      <c r="L120" s="152" t="s">
        <v>3</v>
      </c>
      <c r="M120" s="121" t="s">
        <v>3</v>
      </c>
    </row>
    <row r="121" spans="1:13" ht="36.75" customHeight="1" x14ac:dyDescent="0.2">
      <c r="A121" s="130" t="s">
        <v>8</v>
      </c>
      <c r="B121" s="132" t="s">
        <v>2209</v>
      </c>
      <c r="C121" s="135" t="s">
        <v>2208</v>
      </c>
      <c r="D121" s="131">
        <f>1008.72*1.1</f>
        <v>1109.5920000000001</v>
      </c>
      <c r="E121" s="121" t="s">
        <v>3</v>
      </c>
      <c r="F121" s="152" t="s">
        <v>3</v>
      </c>
      <c r="G121" s="121" t="s">
        <v>1762</v>
      </c>
      <c r="H121" s="152" t="s">
        <v>3</v>
      </c>
      <c r="I121" s="121" t="s">
        <v>1762</v>
      </c>
      <c r="J121" s="152" t="s">
        <v>3</v>
      </c>
      <c r="K121" s="121" t="s">
        <v>3</v>
      </c>
      <c r="L121" s="152" t="s">
        <v>2</v>
      </c>
      <c r="M121" s="121" t="s">
        <v>2</v>
      </c>
    </row>
    <row r="122" spans="1:13" ht="36.75" customHeight="1" x14ac:dyDescent="0.2">
      <c r="A122" s="130" t="s">
        <v>8</v>
      </c>
      <c r="B122" s="132" t="s">
        <v>2207</v>
      </c>
      <c r="C122" s="135" t="s">
        <v>2206</v>
      </c>
      <c r="D122" s="131">
        <f>387.72*1.1</f>
        <v>426.49200000000008</v>
      </c>
      <c r="E122" s="121" t="s">
        <v>1762</v>
      </c>
      <c r="F122" s="152" t="s">
        <v>2</v>
      </c>
      <c r="G122" s="121" t="s">
        <v>1762</v>
      </c>
      <c r="H122" s="152" t="s">
        <v>2</v>
      </c>
      <c r="I122" s="121" t="s">
        <v>1762</v>
      </c>
      <c r="J122" s="152" t="s">
        <v>3</v>
      </c>
      <c r="K122" s="121" t="s">
        <v>2</v>
      </c>
      <c r="L122" s="152" t="s">
        <v>3</v>
      </c>
      <c r="M122" s="121" t="s">
        <v>3</v>
      </c>
    </row>
    <row r="123" spans="1:13" ht="36.75" customHeight="1" x14ac:dyDescent="0.2">
      <c r="A123" s="130" t="s">
        <v>8</v>
      </c>
      <c r="B123" s="132" t="s">
        <v>2205</v>
      </c>
      <c r="C123" s="135" t="s">
        <v>2204</v>
      </c>
      <c r="D123" s="131">
        <f>478.44*1.1</f>
        <v>526.28399999999999</v>
      </c>
      <c r="E123" s="121" t="s">
        <v>1762</v>
      </c>
      <c r="F123" s="152" t="s">
        <v>3</v>
      </c>
      <c r="G123" s="121" t="s">
        <v>1762</v>
      </c>
      <c r="H123" s="152" t="s">
        <v>3</v>
      </c>
      <c r="I123" s="121" t="s">
        <v>1762</v>
      </c>
      <c r="J123" s="152" t="s">
        <v>3</v>
      </c>
      <c r="K123" s="121" t="s">
        <v>3</v>
      </c>
      <c r="L123" s="152" t="s">
        <v>2</v>
      </c>
      <c r="M123" s="121" t="s">
        <v>2</v>
      </c>
    </row>
  </sheetData>
  <sheetProtection formatCells="0" formatColumns="0" formatRows="0" sort="0" autoFilter="0" pivotTables="0"/>
  <autoFilter ref="A5:M123" xr:uid="{00000000-0009-0000-0000-000006000000}"/>
  <mergeCells count="3">
    <mergeCell ref="A1:M1"/>
    <mergeCell ref="A2:M2"/>
    <mergeCell ref="A3:M3"/>
  </mergeCells>
  <conditionalFormatting sqref="A100:M123">
    <cfRule type="expression" dxfId="107" priority="1">
      <formula>$B100="NEW"</formula>
    </cfRule>
    <cfRule type="expression" dxfId="106" priority="2">
      <formula>$B100="DELETE"</formula>
    </cfRule>
  </conditionalFormatting>
  <conditionalFormatting sqref="E7:M23">
    <cfRule type="expression" dxfId="105" priority="3">
      <formula>E$6="Not Offered"</formula>
    </cfRule>
  </conditionalFormatting>
  <hyperlinks>
    <hyperlink ref="A3:M3" r:id="rId1" display="Please refer to the User Guide for further information here"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8C528E"/>
  </sheetPr>
  <dimension ref="A1:L51"/>
  <sheetViews>
    <sheetView zoomScaleNormal="100" workbookViewId="0">
      <selection activeCell="K41" sqref="K41"/>
    </sheetView>
  </sheetViews>
  <sheetFormatPr defaultColWidth="9.140625" defaultRowHeight="12.75" x14ac:dyDescent="0.2"/>
  <cols>
    <col min="1" max="1" width="16.7109375" style="1" customWidth="1"/>
    <col min="2" max="2" width="30.7109375" style="1" customWidth="1"/>
    <col min="3" max="3" width="16.7109375" style="1" customWidth="1"/>
    <col min="4" max="4" width="14.7109375" style="1" customWidth="1"/>
    <col min="5" max="5" width="14.7109375" style="10" customWidth="1"/>
    <col min="6" max="8" width="14.7109375" style="1" customWidth="1"/>
    <col min="9" max="12" width="12.7109375" style="1" customWidth="1"/>
    <col min="13" max="16384" width="9.140625" style="1"/>
  </cols>
  <sheetData>
    <row r="1" spans="1:12" ht="20.100000000000001" customHeight="1" x14ac:dyDescent="0.2">
      <c r="A1" s="376" t="s">
        <v>1702</v>
      </c>
      <c r="B1" s="377"/>
      <c r="C1" s="377"/>
      <c r="D1" s="377"/>
      <c r="E1" s="377"/>
      <c r="F1" s="377"/>
      <c r="G1" s="377"/>
      <c r="H1" s="377"/>
      <c r="I1" s="377"/>
      <c r="J1" s="377"/>
      <c r="K1" s="377"/>
      <c r="L1" s="378"/>
    </row>
    <row r="2" spans="1:12" ht="20.100000000000001" customHeight="1" x14ac:dyDescent="0.2">
      <c r="A2" s="376" t="s">
        <v>932</v>
      </c>
      <c r="B2" s="377"/>
      <c r="C2" s="377"/>
      <c r="D2" s="377"/>
      <c r="E2" s="377"/>
      <c r="F2" s="378"/>
      <c r="H2" s="376" t="s">
        <v>933</v>
      </c>
      <c r="I2" s="377"/>
      <c r="J2" s="377"/>
      <c r="K2" s="377"/>
      <c r="L2" s="378"/>
    </row>
    <row r="3" spans="1:12" ht="39.950000000000003" customHeight="1" x14ac:dyDescent="0.2">
      <c r="A3" s="72" t="s">
        <v>919</v>
      </c>
      <c r="B3" s="156" t="s">
        <v>920</v>
      </c>
      <c r="C3" s="71" t="s">
        <v>69</v>
      </c>
      <c r="D3" s="155">
        <v>50000</v>
      </c>
      <c r="E3" s="71" t="s">
        <v>923</v>
      </c>
      <c r="F3" s="154">
        <v>0.2</v>
      </c>
      <c r="H3" s="230" t="s">
        <v>935</v>
      </c>
      <c r="I3" s="231" t="s">
        <v>934</v>
      </c>
      <c r="J3" s="4" t="s">
        <v>938</v>
      </c>
      <c r="K3" s="232" t="s">
        <v>936</v>
      </c>
      <c r="L3" s="233" t="s">
        <v>937</v>
      </c>
    </row>
    <row r="5" spans="1:12" ht="20.100000000000001" customHeight="1" x14ac:dyDescent="0.2">
      <c r="A5" s="376" t="s">
        <v>1713</v>
      </c>
      <c r="B5" s="377"/>
      <c r="C5" s="377"/>
      <c r="D5" s="377"/>
      <c r="E5" s="377"/>
      <c r="F5" s="377"/>
      <c r="G5" s="377"/>
      <c r="H5" s="378"/>
    </row>
    <row r="6" spans="1:12" ht="26.25" customHeight="1" x14ac:dyDescent="0.2">
      <c r="A6" s="400" t="s">
        <v>925</v>
      </c>
      <c r="B6" s="400" t="s">
        <v>65</v>
      </c>
      <c r="C6" s="354" t="s">
        <v>10</v>
      </c>
      <c r="D6" s="354"/>
      <c r="E6" s="354" t="s">
        <v>7</v>
      </c>
      <c r="F6" s="354"/>
      <c r="G6" s="354" t="s">
        <v>8</v>
      </c>
      <c r="H6" s="354"/>
    </row>
    <row r="7" spans="1:12" ht="15.75" x14ac:dyDescent="0.2">
      <c r="A7" s="399"/>
      <c r="B7" s="399"/>
      <c r="C7" s="9" t="s">
        <v>926</v>
      </c>
      <c r="D7" s="9" t="s">
        <v>927</v>
      </c>
      <c r="E7" s="9" t="s">
        <v>926</v>
      </c>
      <c r="F7" s="9" t="s">
        <v>927</v>
      </c>
      <c r="G7" s="9" t="s">
        <v>926</v>
      </c>
      <c r="H7" s="9" t="s">
        <v>927</v>
      </c>
    </row>
    <row r="8" spans="1:12" ht="24.95" customHeight="1" x14ac:dyDescent="0.2">
      <c r="A8" s="434" t="s">
        <v>37</v>
      </c>
      <c r="B8" s="80" t="s">
        <v>29</v>
      </c>
      <c r="C8" s="13" t="str">
        <f>IF(C9="Not Offered","Not Offered",VLOOKUP(C9,Data!$H:$CV,93,FALSE))</f>
        <v>Not Offered</v>
      </c>
      <c r="D8" s="11" t="str">
        <f>IF(D9="Not Offered","Not Offered",VLOOKUP(D9,Data!$H:$CV,93,FALSE))</f>
        <v>Not Offered</v>
      </c>
      <c r="E8" s="13" t="str">
        <f>IF(E9="Not Offered","Not Offered",VLOOKUP(E9,Data!$H:$CV,93,FALSE))</f>
        <v>Not Offered</v>
      </c>
      <c r="F8" s="11" t="str">
        <f>IF(F9="Not Offered","Not Offered",VLOOKUP(F9,Data!$H:$CV,93,FALSE))</f>
        <v>1102RC3AS0</v>
      </c>
      <c r="G8" s="13">
        <f>IF(G9="Not Offered","Not Offered",VLOOKUP(G9,Data!$H:$CV,93,FALSE))</f>
        <v>408542</v>
      </c>
      <c r="H8" s="11">
        <f>IF(H9="Not Offered","Not Offered",VLOOKUP(H9,Data!$H:$CV,93,FALSE))</f>
        <v>408545</v>
      </c>
    </row>
    <row r="9" spans="1:12" ht="24.95" customHeight="1" x14ac:dyDescent="0.2">
      <c r="A9" s="395"/>
      <c r="B9" s="82" t="s">
        <v>72</v>
      </c>
      <c r="C9" s="13" t="str">
        <f>Data!$H112</f>
        <v>Not Offered</v>
      </c>
      <c r="D9" s="13" t="str">
        <f>Data!$H113</f>
        <v>Not Offered</v>
      </c>
      <c r="E9" s="13" t="str">
        <f>Data!$H118</f>
        <v>Not Offered</v>
      </c>
      <c r="F9" s="11" t="str">
        <f>Data!$H119</f>
        <v>Ecosys P5026CDN</v>
      </c>
      <c r="G9" s="13" t="str">
        <f>Data!$H124</f>
        <v>P C311W</v>
      </c>
      <c r="H9" s="11" t="str">
        <f>Data!$H125</f>
        <v>M C251FW</v>
      </c>
    </row>
    <row r="10" spans="1:12" ht="24.95" customHeight="1" x14ac:dyDescent="0.2">
      <c r="A10" s="395"/>
      <c r="B10" s="82" t="s">
        <v>33</v>
      </c>
      <c r="C10" s="13" t="str">
        <f>IF(C8="Not Offered","",VLOOKUP(C8,Data!$G:$BB,3,FALSE))</f>
        <v/>
      </c>
      <c r="D10" s="11" t="str">
        <f>IF(D8="Not Offered","",VLOOKUP(D8,Data!$G:$BB,3,FALSE))</f>
        <v/>
      </c>
      <c r="E10" s="13" t="str">
        <f>IF(E8="Not Offered","",VLOOKUP(E8,Data!$G:$BB,3,FALSE))</f>
        <v/>
      </c>
      <c r="F10" s="11">
        <f>IF(F8="Not Offered","",VLOOKUP(F8,Data!$G:$BB,3,FALSE))</f>
        <v>26</v>
      </c>
      <c r="G10" s="13">
        <f>IF(G8="Not Offered","",VLOOKUP(G8,Data!$G:$BB,3,FALSE))</f>
        <v>25</v>
      </c>
      <c r="H10" s="11">
        <f>IF(H8="Not Offered","",VLOOKUP(H8,Data!$G:$BB,3,FALSE))</f>
        <v>25</v>
      </c>
    </row>
    <row r="11" spans="1:12" ht="24.95" customHeight="1" x14ac:dyDescent="0.2">
      <c r="A11" s="395"/>
      <c r="B11" s="82" t="s">
        <v>30</v>
      </c>
      <c r="C11" s="60" t="str">
        <f>IF(C8="Not Offered","",VLOOKUP(C8,Data!$G:$BB,4,FALSE))</f>
        <v/>
      </c>
      <c r="D11" s="59" t="str">
        <f>IF(D8="Not Offered","",VLOOKUP(D8,Data!$G:$BB,4,FALSE))</f>
        <v/>
      </c>
      <c r="E11" s="60" t="str">
        <f>IF(E8="Not Offered","",VLOOKUP(E8,Data!$G:$BB,4,FALSE))</f>
        <v/>
      </c>
      <c r="F11" s="59">
        <f>IF(F8="Not Offered","",VLOOKUP(F8,Data!$G:$BB,4,FALSE))</f>
        <v>100000</v>
      </c>
      <c r="G11" s="60">
        <f>IF(G8="Not Offered","",VLOOKUP(G8,Data!$G:$BB,4,FALSE))</f>
        <v>180000</v>
      </c>
      <c r="H11" s="59">
        <f>IF(H8="Not Offered","",VLOOKUP(H8,Data!$G:$BB,4,FALSE))</f>
        <v>180000</v>
      </c>
    </row>
    <row r="12" spans="1:12" ht="24.95" customHeight="1" x14ac:dyDescent="0.2">
      <c r="A12" s="340"/>
      <c r="B12" s="82" t="s">
        <v>31</v>
      </c>
      <c r="C12" s="60" t="str">
        <f>IF(C8="Not Offered","",VLOOKUP(C8,Data!$G:$BB,5,FALSE))</f>
        <v/>
      </c>
      <c r="D12" s="59" t="str">
        <f>IF(D8="Not Offered","",VLOOKUP(D8,Data!$G:$BB,5,FALSE))</f>
        <v/>
      </c>
      <c r="E12" s="60" t="str">
        <f>IF(E8="Not Offered","",VLOOKUP(E8,Data!$G:$BB,5,FALSE))</f>
        <v/>
      </c>
      <c r="F12" s="59">
        <f>IF(F8="Not Offered","",VLOOKUP(F8,Data!$G:$BB,5,FALSE))</f>
        <v>2000</v>
      </c>
      <c r="G12" s="60">
        <f>IF(G8="Not Offered","",VLOOKUP(G8,Data!$G:$BB,5,FALSE))</f>
        <v>65000</v>
      </c>
      <c r="H12" s="59">
        <f>IF(H8="Not Offered","",VLOOKUP(H8,Data!$G:$BB,5,FALSE))</f>
        <v>65000</v>
      </c>
    </row>
    <row r="13" spans="1:12" ht="24.95" customHeight="1" x14ac:dyDescent="0.2">
      <c r="A13" s="435" t="s">
        <v>63</v>
      </c>
      <c r="B13" s="82" t="s">
        <v>64</v>
      </c>
      <c r="C13" s="94" t="str">
        <f>IF(C8="Not Offered","",VLOOKUP(C8,Data!$G:$BB,6,FALSE))</f>
        <v/>
      </c>
      <c r="D13" s="67" t="str">
        <f>IF(D8="Not Offered","",VLOOKUP(D8,Data!$G:$BB,6,FALSE))</f>
        <v/>
      </c>
      <c r="E13" s="94" t="str">
        <f>IF(E8="Not Offered","",VLOOKUP(E8,Data!$G:$BB,6,FALSE))</f>
        <v/>
      </c>
      <c r="F13" s="67">
        <f>IF(F8="Not Offered","",VLOOKUP(F8,Data!$G:$BB,6,FALSE))</f>
        <v>444.4</v>
      </c>
      <c r="G13" s="94">
        <f>IF(G8="Not Offered","",VLOOKUP(G8,Data!$G:$BB,6,FALSE))</f>
        <v>383.72400000000005</v>
      </c>
      <c r="H13" s="67">
        <f>IF(H8="Not Offered","",VLOOKUP(H8,Data!$G:$BB,6,FALSE))</f>
        <v>563.11199999999997</v>
      </c>
    </row>
    <row r="14" spans="1:12" ht="24.95" customHeight="1" x14ac:dyDescent="0.2">
      <c r="A14" s="436"/>
      <c r="B14" s="82" t="str">
        <f>$B$3&amp;" BW CPC"</f>
        <v>Zone 1 (Perth Metro) BW CPC</v>
      </c>
      <c r="C14" s="95" t="str">
        <f>IF(C8="Not Offered","",VLOOKUP(C8,Data!$G:$AL,5+2*(MATCH($B$3,Locations,0)),FALSE))</f>
        <v/>
      </c>
      <c r="D14" s="68" t="str">
        <f>IF(D8="Not Offered","",VLOOKUP(D8,Data!$G:$AL,5+2*(MATCH($B$3,Locations,0)),FALSE))</f>
        <v/>
      </c>
      <c r="E14" s="95" t="str">
        <f>IF(E8="Not Offered","",VLOOKUP(E8,Data!$G:$AL,5+2*(MATCH($B$3,Locations,0)),FALSE))</f>
        <v/>
      </c>
      <c r="F14" s="68">
        <f>IF(F8="Not Offered","",VLOOKUP(F8,Data!$G:$AL,5+2*(MATCH($B$3,Locations,0)),FALSE))</f>
        <v>5.5E-2</v>
      </c>
      <c r="G14" s="95">
        <f>IF(G8="Not Offered","",VLOOKUP(G8,Data!$G:$AL,5+2*(MATCH($B$3,Locations,0)),FALSE))</f>
        <v>2.0900000000000002E-2</v>
      </c>
      <c r="H14" s="68">
        <f>IF(H8="Not Offered","",VLOOKUP(H8,Data!$G:$AL,5+2*(MATCH($B$3,Locations,0)),FALSE))</f>
        <v>1.9E-2</v>
      </c>
    </row>
    <row r="15" spans="1:12" ht="24.95" customHeight="1" x14ac:dyDescent="0.2">
      <c r="A15" s="436"/>
      <c r="B15" s="82" t="str">
        <f>$B$3&amp;" Colour CPC"</f>
        <v>Zone 1 (Perth Metro) Colour CPC</v>
      </c>
      <c r="C15" s="95" t="str">
        <f>IF(C8="Not Offered","",VLOOKUP(C8,Data!$G:$AL,6+2*(MATCH($B$3,Locations,0)),FALSE))</f>
        <v/>
      </c>
      <c r="D15" s="68" t="str">
        <f>IF(D8="Not Offered","",VLOOKUP(D8,Data!$G:$AL,6+2*(MATCH($B$3,Locations,0)),FALSE))</f>
        <v/>
      </c>
      <c r="E15" s="95" t="str">
        <f>IF(E8="Not Offered","",VLOOKUP(E8,Data!$G:$AL,6+2*(MATCH($B$3,Locations,0)),FALSE))</f>
        <v/>
      </c>
      <c r="F15" s="68">
        <f>IF(F8="Not Offered","",VLOOKUP(F8,Data!$G:$AL,6+2*(MATCH($B$3,Locations,0)),FALSE))</f>
        <v>0.22</v>
      </c>
      <c r="G15" s="95">
        <f>IF(G8="Not Offered","",VLOOKUP(G8,Data!$G:$AL,6+2*(MATCH($B$3,Locations,0)),FALSE))</f>
        <v>0.11000000000000001</v>
      </c>
      <c r="H15" s="68">
        <f>IF(H8="Not Offered","",VLOOKUP(H8,Data!$G:$AL,6+2*(MATCH($B$3,Locations,0)),FALSE))</f>
        <v>0.1</v>
      </c>
      <c r="I15" s="196"/>
    </row>
    <row r="16" spans="1:12" ht="24.95" customHeight="1" x14ac:dyDescent="0.2">
      <c r="A16" s="437"/>
      <c r="B16" s="66" t="str">
        <f>$B$3&amp;" Surcharge &amp; Installation"</f>
        <v>Zone 1 (Perth Metro) Surcharge &amp; Installation</v>
      </c>
      <c r="C16" s="226" t="str">
        <f>IF(C8="Not Offered","",IF($B$3="Zone 1 (Perth Metro)",0,VLOOKUP(C8,Data!$G:$BK,44+(MATCH($B$3,Locations,0)),FALSE)))</f>
        <v/>
      </c>
      <c r="D16" s="227" t="str">
        <f>IF(D8="Not Offered","",IF($B$3="Zone 1 (Perth Metro)",0,VLOOKUP(D8,Data!$G:$BK,44+(MATCH($B$3,Locations,0)),FALSE)))</f>
        <v/>
      </c>
      <c r="E16" s="228" t="str">
        <f>IF(E8="Not Offered","",IF($B$3="Zone 1 (Perth Metro)",0,VLOOKUP(E8,Data!$G:$BK,44+(MATCH($B$3,Locations,0)),FALSE)))</f>
        <v/>
      </c>
      <c r="F16" s="229">
        <f>IF(F8="Not Offered","",IF($B$3="Zone 1 (Perth Metro)",0,VLOOKUP(F8,Data!$G:$BK,44+(MATCH($B$3,Locations,0)),FALSE)))</f>
        <v>0</v>
      </c>
      <c r="G16" s="228">
        <f>IF(G8="Not Offered","",IF($B$3="Zone 1 (Perth Metro)",0,VLOOKUP(G8,Data!$G:$BK,44+(MATCH($B$3,Locations,0)),FALSE)))</f>
        <v>0</v>
      </c>
      <c r="H16" s="229">
        <f>IF(H8="Not Offered","",IF($B$3="Zone 1 (Perth Metro)",0,VLOOKUP(H8,Data!$G:$BK,44+(MATCH($B$3,Locations,0)),FALSE)))</f>
        <v>0</v>
      </c>
      <c r="I16" s="196"/>
    </row>
    <row r="17" spans="1:8" ht="24.95" customHeight="1" x14ac:dyDescent="0.2">
      <c r="A17" s="81" t="s">
        <v>70</v>
      </c>
      <c r="B17" s="82" t="s">
        <v>71</v>
      </c>
      <c r="C17" s="14" t="str">
        <f>IF(C9="Not Offered","",IF(C11&gt;=$D$3*5,"Y","N"))</f>
        <v/>
      </c>
      <c r="D17" s="4" t="str">
        <f t="shared" ref="D17:H17" si="0">IF(D9="Not Offered","",IF(D11&gt;=$D$3*5,"Y","N"))</f>
        <v/>
      </c>
      <c r="E17" s="14" t="str">
        <f t="shared" si="0"/>
        <v/>
      </c>
      <c r="F17" s="4" t="str">
        <f t="shared" si="0"/>
        <v>N</v>
      </c>
      <c r="G17" s="14" t="str">
        <f t="shared" si="0"/>
        <v>N</v>
      </c>
      <c r="H17" s="4" t="str">
        <f t="shared" si="0"/>
        <v>N</v>
      </c>
    </row>
    <row r="18" spans="1:8" ht="24.95" customHeight="1" x14ac:dyDescent="0.2">
      <c r="A18" s="435" t="s">
        <v>66</v>
      </c>
      <c r="B18" s="82" t="s">
        <v>68</v>
      </c>
      <c r="C18" s="96" t="str">
        <f>IF(C9="Not Offered","",IF(C14="N/A","",IF(C17="Y",C13,((ROUNDUP(($D$3*5)/C11,0))*C13))+C16+(C14*(1-$F$3)*$D$3*5)+(C15*$F$3*$D$3*5)))</f>
        <v/>
      </c>
      <c r="D18" s="12" t="str">
        <f t="shared" ref="D18:H18" si="1">IF(D9="Not Offered","",IF(D14="N/A","",IF(D17="Y",D13,((ROUNDUP(($D$3*5)/D11,0))*D13))+D16+(D14*(1-$F$3)*$D$3*5)+(D15*$F$3*$D$3*5)))</f>
        <v/>
      </c>
      <c r="E18" s="96" t="str">
        <f t="shared" si="1"/>
        <v/>
      </c>
      <c r="F18" s="12">
        <f t="shared" si="1"/>
        <v>23333.200000000001</v>
      </c>
      <c r="G18" s="96">
        <f t="shared" si="1"/>
        <v>10447.448000000002</v>
      </c>
      <c r="H18" s="12">
        <f t="shared" si="1"/>
        <v>9926.224000000002</v>
      </c>
    </row>
    <row r="19" spans="1:8" ht="24.95" customHeight="1" x14ac:dyDescent="0.2">
      <c r="A19" s="340"/>
      <c r="B19" s="82" t="s">
        <v>67</v>
      </c>
      <c r="C19" s="13" t="str">
        <f t="shared" ref="C19:H19" si="2">IF(C18="","",IF(ISNA(RANK(C18,$A18:$H18)),"",RANK(C18,$A18:$H18,1)))</f>
        <v/>
      </c>
      <c r="D19" s="11" t="str">
        <f>IF(D18="","",IF(ISNA(RANK(D18,$A18:$H18)),"",RANK(D18,$A18:$H18,1)))</f>
        <v/>
      </c>
      <c r="E19" s="13" t="str">
        <f t="shared" si="2"/>
        <v/>
      </c>
      <c r="F19" s="11">
        <f t="shared" si="2"/>
        <v>3</v>
      </c>
      <c r="G19" s="13">
        <f t="shared" si="2"/>
        <v>2</v>
      </c>
      <c r="H19" s="11">
        <f t="shared" si="2"/>
        <v>1</v>
      </c>
    </row>
    <row r="20" spans="1:8" ht="15" customHeight="1" x14ac:dyDescent="0.2">
      <c r="E20" s="1"/>
    </row>
    <row r="21" spans="1:8" ht="20.100000000000001" customHeight="1" x14ac:dyDescent="0.2">
      <c r="A21" s="376" t="s">
        <v>1714</v>
      </c>
      <c r="B21" s="377"/>
      <c r="C21" s="377"/>
      <c r="D21" s="377"/>
      <c r="E21" s="377"/>
      <c r="F21" s="377"/>
      <c r="G21" s="377"/>
      <c r="H21" s="378"/>
    </row>
    <row r="22" spans="1:8" ht="24.95" customHeight="1" x14ac:dyDescent="0.2">
      <c r="A22" s="432" t="s">
        <v>4</v>
      </c>
      <c r="B22" s="432" t="s">
        <v>65</v>
      </c>
      <c r="C22" s="428" t="s">
        <v>10</v>
      </c>
      <c r="D22" s="431"/>
      <c r="E22" s="428" t="s">
        <v>7</v>
      </c>
      <c r="F22" s="431"/>
      <c r="G22" s="428" t="s">
        <v>8</v>
      </c>
      <c r="H22" s="431"/>
    </row>
    <row r="23" spans="1:8" ht="31.5" x14ac:dyDescent="0.2">
      <c r="A23" s="433"/>
      <c r="B23" s="433"/>
      <c r="C23" s="58" t="s">
        <v>928</v>
      </c>
      <c r="D23" s="58" t="s">
        <v>929</v>
      </c>
      <c r="E23" s="58" t="s">
        <v>928</v>
      </c>
      <c r="F23" s="58" t="s">
        <v>929</v>
      </c>
      <c r="G23" s="58" t="s">
        <v>928</v>
      </c>
      <c r="H23" s="58" t="s">
        <v>929</v>
      </c>
    </row>
    <row r="24" spans="1:8" ht="24.95" customHeight="1" x14ac:dyDescent="0.2">
      <c r="A24" s="434" t="s">
        <v>37</v>
      </c>
      <c r="B24" s="80" t="s">
        <v>29</v>
      </c>
      <c r="C24" s="198" t="str">
        <f>IF(C25="Not Offered","Not Offered",VLOOKUP(C25,Data!$H:$CV,93,FALSE))</f>
        <v>C3301ib</v>
      </c>
      <c r="D24" s="11" t="str">
        <f>IF(D25="Not Offered","Not Offered",VLOOKUP(D25,Data!$H:$CV,93,FALSE))</f>
        <v>Not Offered</v>
      </c>
      <c r="E24" s="13" t="str">
        <f>IF(E25="Not Offered","Not Offered",VLOOKUP(E25,Data!$H:$CV,93,FALSE))</f>
        <v>1102YJ3AU0</v>
      </c>
      <c r="F24" s="11" t="str">
        <f>IF(F25="Not Offered","Not Offered",VLOOKUP(F25,Data!$H:$CV,93,FALSE))</f>
        <v>Not Offered</v>
      </c>
      <c r="G24" s="13" t="str">
        <f>IF(G25="Not Offered","Not Offered",VLOOKUP(G25,Data!$H:$CV,93,FALSE))</f>
        <v>Not Offered</v>
      </c>
      <c r="H24" s="11" t="str">
        <f>IF(H25="Not Offered","Not Offered",VLOOKUP(H25,Data!$H:$CV,93,FALSE))</f>
        <v>Not Offered</v>
      </c>
    </row>
    <row r="25" spans="1:8" ht="24.95" customHeight="1" x14ac:dyDescent="0.2">
      <c r="A25" s="395"/>
      <c r="B25" s="82" t="s">
        <v>72</v>
      </c>
      <c r="C25" s="13" t="str">
        <f>Data!$H114</f>
        <v>bizhub C3301i</v>
      </c>
      <c r="D25" s="13" t="str">
        <f>Data!$H115</f>
        <v>Not Offered</v>
      </c>
      <c r="E25" s="13" t="str">
        <f>Data!$H120</f>
        <v>Ecosys PA3500cx</v>
      </c>
      <c r="F25" s="11" t="str">
        <f>Data!$H121</f>
        <v>Not Offered</v>
      </c>
      <c r="G25" s="13" t="str">
        <f>Data!$H126</f>
        <v>Not Offered</v>
      </c>
      <c r="H25" s="11" t="str">
        <f>Data!$H127</f>
        <v>Not Offered</v>
      </c>
    </row>
    <row r="26" spans="1:8" ht="24.95" customHeight="1" x14ac:dyDescent="0.2">
      <c r="A26" s="395"/>
      <c r="B26" s="82" t="s">
        <v>33</v>
      </c>
      <c r="C26" s="13">
        <f>IF(C24="Not Offered","",VLOOKUP(C24,Data!$G:$BB,3,FALSE))</f>
        <v>33</v>
      </c>
      <c r="D26" s="11" t="str">
        <f>IF(D24="Not Offered","",VLOOKUP(D24,Data!$G:$BB,3,FALSE))</f>
        <v/>
      </c>
      <c r="E26" s="13">
        <f>IF(E24="Not Offered","",VLOOKUP(E24,Data!$G:$BB,3,FALSE))</f>
        <v>35</v>
      </c>
      <c r="F26" s="11" t="str">
        <f>IF(F24="Not Offered","",VLOOKUP(F24,Data!$G:$BB,3,FALSE))</f>
        <v/>
      </c>
      <c r="G26" s="13" t="str">
        <f>IF(G24="Not Offered","",VLOOKUP(G24,Data!$G:$BB,3,FALSE))</f>
        <v/>
      </c>
      <c r="H26" s="11" t="str">
        <f>IF(H24="Not Offered","",VLOOKUP(H24,Data!$G:$BB,3,FALSE))</f>
        <v/>
      </c>
    </row>
    <row r="27" spans="1:8" ht="24.95" customHeight="1" x14ac:dyDescent="0.2">
      <c r="A27" s="395"/>
      <c r="B27" s="82" t="s">
        <v>30</v>
      </c>
      <c r="C27" s="60">
        <f>IF(C24="Not Offered","",VLOOKUP(C24,Data!$G:$BB,4,FALSE))</f>
        <v>400000</v>
      </c>
      <c r="D27" s="59" t="str">
        <f>IF(D24="Not Offered","",VLOOKUP(D24,Data!$G:$BB,4,FALSE))</f>
        <v/>
      </c>
      <c r="E27" s="60">
        <f>IF(E24="Not Offered","",VLOOKUP(E24,Data!$G:$BB,4,FALSE))</f>
        <v>600000</v>
      </c>
      <c r="F27" s="59" t="str">
        <f>IF(F24="Not Offered","",VLOOKUP(F24,Data!$G:$BB,4,FALSE))</f>
        <v/>
      </c>
      <c r="G27" s="60" t="str">
        <f>IF(G24="Not Offered","",VLOOKUP(G24,Data!$G:$BB,4,FALSE))</f>
        <v/>
      </c>
      <c r="H27" s="59" t="str">
        <f>IF(H24="Not Offered","",VLOOKUP(H24,Data!$G:$BB,4,FALSE))</f>
        <v/>
      </c>
    </row>
    <row r="28" spans="1:8" ht="24.95" customHeight="1" x14ac:dyDescent="0.2">
      <c r="A28" s="340"/>
      <c r="B28" s="82" t="s">
        <v>31</v>
      </c>
      <c r="C28" s="60">
        <f>IF(C24="Not Offered","",VLOOKUP(C24,Data!$G:$BB,5,FALSE))</f>
        <v>6667</v>
      </c>
      <c r="D28" s="59" t="str">
        <f>IF(D24="Not Offered","",VLOOKUP(D24,Data!$G:$BB,5,FALSE))</f>
        <v/>
      </c>
      <c r="E28" s="60">
        <f>IF(E24="Not Offered","",VLOOKUP(E24,Data!$G:$BB,5,FALSE))</f>
        <v>15000</v>
      </c>
      <c r="F28" s="59" t="str">
        <f>IF(F24="Not Offered","",VLOOKUP(F24,Data!$G:$BB,5,FALSE))</f>
        <v/>
      </c>
      <c r="G28" s="60" t="str">
        <f>IF(G24="Not Offered","",VLOOKUP(G24,Data!$G:$BB,5,FALSE))</f>
        <v/>
      </c>
      <c r="H28" s="59" t="str">
        <f>IF(H24="Not Offered","",VLOOKUP(H24,Data!$G:$BB,5,FALSE))</f>
        <v/>
      </c>
    </row>
    <row r="29" spans="1:8" ht="24.95" customHeight="1" x14ac:dyDescent="0.2">
      <c r="A29" s="435" t="s">
        <v>63</v>
      </c>
      <c r="B29" s="82" t="s">
        <v>64</v>
      </c>
      <c r="C29" s="94">
        <f>IF(C24="Not Offered","",VLOOKUP(C24,Data!$G:$BB,6,FALSE))</f>
        <v>1401.807</v>
      </c>
      <c r="D29" s="67" t="str">
        <f>IF(D24="Not Offered","",VLOOKUP(D24,Data!$G:$BB,6,FALSE))</f>
        <v/>
      </c>
      <c r="E29" s="94">
        <f>IF(E24="Not Offered","",VLOOKUP(E24,Data!$G:$BB,6,FALSE))</f>
        <v>646.79999999999995</v>
      </c>
      <c r="F29" s="67" t="str">
        <f>IF(F24="Not Offered","",VLOOKUP(F24,Data!$G:$BB,6,FALSE))</f>
        <v/>
      </c>
      <c r="G29" s="94" t="str">
        <f>IF(G24="Not Offered","",VLOOKUP(G24,Data!$G:$BB,6,FALSE))</f>
        <v/>
      </c>
      <c r="H29" s="67" t="str">
        <f>IF(H24="Not Offered","",VLOOKUP(H24,Data!$G:$BB,6,FALSE))</f>
        <v/>
      </c>
    </row>
    <row r="30" spans="1:8" ht="24.95" customHeight="1" x14ac:dyDescent="0.2">
      <c r="A30" s="436"/>
      <c r="B30" s="82" t="str">
        <f>$B$3&amp;" BW CPC"</f>
        <v>Zone 1 (Perth Metro) BW CPC</v>
      </c>
      <c r="C30" s="95">
        <f>IF(C24="Not Offered","",VLOOKUP(C24,Data!$G:$AL,5+2*(MATCH($B$3,Locations,0)),FALSE))</f>
        <v>7.1999999999999998E-3</v>
      </c>
      <c r="D30" s="68" t="str">
        <f>IF(D24="Not Offered","",VLOOKUP(D24,Data!$G:$AL,5+2*(MATCH($B$3,Locations,0)),FALSE))</f>
        <v/>
      </c>
      <c r="E30" s="95">
        <f>IF(E24="Not Offered","",VLOOKUP(E24,Data!$G:$AL,5+2*(MATCH($B$3,Locations,0)),FALSE))</f>
        <v>2.002E-2</v>
      </c>
      <c r="F30" s="68" t="str">
        <f>IF(F24="Not Offered","",VLOOKUP(F24,Data!$G:$AL,5+2*(MATCH($B$3,Locations,0)),FALSE))</f>
        <v/>
      </c>
      <c r="G30" s="95" t="str">
        <f>IF(G24="Not Offered","",VLOOKUP(G24,Data!$G:$AL,5+2*(MATCH($B$3,Locations,0)),FALSE))</f>
        <v/>
      </c>
      <c r="H30" s="68" t="str">
        <f>IF(H24="Not Offered","",VLOOKUP(H24,Data!$G:$AL,5+2*(MATCH($B$3,Locations,0)),FALSE))</f>
        <v/>
      </c>
    </row>
    <row r="31" spans="1:8" ht="24.95" customHeight="1" x14ac:dyDescent="0.2">
      <c r="A31" s="436"/>
      <c r="B31" s="82" t="str">
        <f>$B$3&amp;" Colour CPC"</f>
        <v>Zone 1 (Perth Metro) Colour CPC</v>
      </c>
      <c r="C31" s="95">
        <f>IF(C24="Not Offered","",VLOOKUP(C24,Data!$G:$AL,6+2*(MATCH($B$3,Locations,0)),FALSE))</f>
        <v>6.6000000000000003E-2</v>
      </c>
      <c r="D31" s="68" t="str">
        <f>IF(D24="Not Offered","",VLOOKUP(D24,Data!$G:$AL,6+2*(MATCH($B$3,Locations,0)),FALSE))</f>
        <v/>
      </c>
      <c r="E31" s="95">
        <f>IF(E24="Not Offered","",VLOOKUP(E24,Data!$G:$AL,6+2*(MATCH($B$3,Locations,0)),FALSE))</f>
        <v>0.1265</v>
      </c>
      <c r="F31" s="68" t="str">
        <f>IF(F24="Not Offered","",VLOOKUP(F24,Data!$G:$AL,6+2*(MATCH($B$3,Locations,0)),FALSE))</f>
        <v/>
      </c>
      <c r="G31" s="95" t="str">
        <f>IF(G24="Not Offered","",VLOOKUP(G24,Data!$G:$AL,6+2*(MATCH($B$3,Locations,0)),FALSE))</f>
        <v/>
      </c>
      <c r="H31" s="68" t="str">
        <f>IF(H24="Not Offered","",VLOOKUP(H24,Data!$G:$AL,6+2*(MATCH($B$3,Locations,0)),FALSE))</f>
        <v/>
      </c>
    </row>
    <row r="32" spans="1:8" ht="24.95" customHeight="1" x14ac:dyDescent="0.2">
      <c r="A32" s="437"/>
      <c r="B32" s="66" t="str">
        <f>$B$3&amp;" Surcharge &amp; Installation"</f>
        <v>Zone 1 (Perth Metro) Surcharge &amp; Installation</v>
      </c>
      <c r="C32" s="228">
        <f>IF(C24="Not Offered","",IF($B$3="Zone 1 (Perth Metro)",0,VLOOKUP(C24,Data!$G:$BK,44+(MATCH($B$3,Locations,0)),FALSE)))</f>
        <v>0</v>
      </c>
      <c r="D32" s="229" t="str">
        <f>IF(D24="Not Offered","",IF($B$3="Zone 1 (Perth Metro)",0,VLOOKUP(D24,Data!$G:$BK,44+(MATCH($B$3,Locations,0)),FALSE)))</f>
        <v/>
      </c>
      <c r="E32" s="228">
        <f>IF(E24="Not Offered","",IF($B$3="Zone 1 (Perth Metro)",0,VLOOKUP(E24,Data!$G:$BK,44+(MATCH($B$3,Locations,0)),FALSE)))</f>
        <v>0</v>
      </c>
      <c r="F32" s="229" t="str">
        <f>IF(F24="Not Offered","",IF($B$3="Zone 1 (Perth Metro)",0,VLOOKUP(F24,Data!$G:$BK,44+(MATCH($B$3,Locations,0)),FALSE)))</f>
        <v/>
      </c>
      <c r="G32" s="228" t="str">
        <f>IF(G24="Not Offered","",IF($B$3="Zone 1 (Perth Metro)",0,VLOOKUP(G24,Data!$G:$BK,44+(MATCH($B$3,Locations,0)),FALSE)))</f>
        <v/>
      </c>
      <c r="H32" s="229" t="str">
        <f>IF(H24="Not Offered","",IF($B$3="Zone 1 (Perth Metro)",0,VLOOKUP(H24,Data!$G:$BK,44+(MATCH($B$3,Locations,0)),FALSE)))</f>
        <v/>
      </c>
    </row>
    <row r="33" spans="1:8" ht="24.95" customHeight="1" x14ac:dyDescent="0.2">
      <c r="A33" s="81" t="s">
        <v>70</v>
      </c>
      <c r="B33" s="82" t="s">
        <v>71</v>
      </c>
      <c r="C33" s="14" t="str">
        <f>IF(C25="Not Offered","",IF(C27&gt;=$D$3*5,"Y","N"))</f>
        <v>Y</v>
      </c>
      <c r="D33" s="4" t="str">
        <f t="shared" ref="D33:H33" si="3">IF(D25="Not Offered","",IF(D27&gt;=$D$3*5,"Y","N"))</f>
        <v/>
      </c>
      <c r="E33" s="14" t="str">
        <f t="shared" si="3"/>
        <v>Y</v>
      </c>
      <c r="F33" s="4" t="str">
        <f t="shared" si="3"/>
        <v/>
      </c>
      <c r="G33" s="14" t="str">
        <f t="shared" si="3"/>
        <v/>
      </c>
      <c r="H33" s="4" t="str">
        <f t="shared" si="3"/>
        <v/>
      </c>
    </row>
    <row r="34" spans="1:8" ht="24.95" customHeight="1" x14ac:dyDescent="0.2">
      <c r="A34" s="435" t="s">
        <v>66</v>
      </c>
      <c r="B34" s="82" t="s">
        <v>68</v>
      </c>
      <c r="C34" s="96">
        <f>IF(C25="Not Offered","",IF(C30="N/A","",IF(C33="Y",C29,((ROUNDUP(($D$3*5)/C27,0))*C29))+C32+(C30*(1-$F$3)*$D$3*5)+(C31*$F$3*$D$3*5)))</f>
        <v>6141.8070000000007</v>
      </c>
      <c r="D34" s="12" t="str">
        <f t="shared" ref="D34:H34" si="4">IF(D25="Not Offered","",IF(D30="N/A","",IF(D33="Y",D29,((ROUNDUP(($D$3*5)/D27,0))*D29))+D32+(D30*(1-$F$3)*$D$3*5)+(D31*$F$3*$D$3*5)))</f>
        <v/>
      </c>
      <c r="E34" s="96">
        <f t="shared" si="4"/>
        <v>10975.800000000001</v>
      </c>
      <c r="F34" s="12" t="str">
        <f t="shared" si="4"/>
        <v/>
      </c>
      <c r="G34" s="96" t="str">
        <f t="shared" si="4"/>
        <v/>
      </c>
      <c r="H34" s="12" t="str">
        <f t="shared" si="4"/>
        <v/>
      </c>
    </row>
    <row r="35" spans="1:8" ht="24.95" customHeight="1" x14ac:dyDescent="0.2">
      <c r="A35" s="340"/>
      <c r="B35" s="82" t="s">
        <v>67</v>
      </c>
      <c r="C35" s="13">
        <f t="shared" ref="C35:H35" si="5">IF(C34="","",IF(ISNA(RANK(C34,$A34:$H34)),"",RANK(C34,$A34:$H34,1)))</f>
        <v>1</v>
      </c>
      <c r="D35" s="11" t="str">
        <f t="shared" si="5"/>
        <v/>
      </c>
      <c r="E35" s="13">
        <f t="shared" si="5"/>
        <v>2</v>
      </c>
      <c r="F35" s="11" t="str">
        <f t="shared" si="5"/>
        <v/>
      </c>
      <c r="G35" s="13" t="str">
        <f t="shared" si="5"/>
        <v/>
      </c>
      <c r="H35" s="11" t="str">
        <f t="shared" si="5"/>
        <v/>
      </c>
    </row>
    <row r="36" spans="1:8" ht="15" customHeight="1" x14ac:dyDescent="0.2">
      <c r="E36" s="1"/>
    </row>
    <row r="37" spans="1:8" ht="20.100000000000001" customHeight="1" x14ac:dyDescent="0.2">
      <c r="A37" s="354" t="s">
        <v>1715</v>
      </c>
      <c r="B37" s="433"/>
      <c r="C37" s="433"/>
      <c r="D37" s="433"/>
      <c r="E37" s="433"/>
      <c r="F37" s="433"/>
      <c r="G37" s="433"/>
      <c r="H37" s="433"/>
    </row>
    <row r="38" spans="1:8" ht="22.5" customHeight="1" x14ac:dyDescent="0.2">
      <c r="A38" s="354" t="s">
        <v>4</v>
      </c>
      <c r="B38" s="354" t="s">
        <v>65</v>
      </c>
      <c r="C38" s="354" t="s">
        <v>10</v>
      </c>
      <c r="D38" s="354"/>
      <c r="E38" s="354" t="s">
        <v>7</v>
      </c>
      <c r="F38" s="354"/>
      <c r="G38" s="354" t="s">
        <v>8</v>
      </c>
      <c r="H38" s="354"/>
    </row>
    <row r="39" spans="1:8" ht="15.75" x14ac:dyDescent="0.2">
      <c r="A39" s="433"/>
      <c r="B39" s="433"/>
      <c r="C39" s="9" t="s">
        <v>930</v>
      </c>
      <c r="D39" s="9" t="s">
        <v>931</v>
      </c>
      <c r="E39" s="9" t="s">
        <v>930</v>
      </c>
      <c r="F39" s="9" t="s">
        <v>931</v>
      </c>
      <c r="G39" s="9" t="s">
        <v>930</v>
      </c>
      <c r="H39" s="9" t="s">
        <v>931</v>
      </c>
    </row>
    <row r="40" spans="1:8" ht="24.95" customHeight="1" x14ac:dyDescent="0.2">
      <c r="A40" s="434" t="s">
        <v>37</v>
      </c>
      <c r="B40" s="64" t="s">
        <v>29</v>
      </c>
      <c r="C40" s="13" t="str">
        <f>IF(C41="Not Offered","Not Offered",VLOOKUP(C41,Data!$H:$CV,93,FALSE))</f>
        <v>C4001ib</v>
      </c>
      <c r="D40" s="11" t="str">
        <f>IF(D41="Not Offered","Not Offered",VLOOKUP(D41,Data!$H:$CV,93,FALSE))</f>
        <v>Not Offered</v>
      </c>
      <c r="E40" s="13" t="str">
        <f>IF(E41="Not Offered","Not Offered",VLOOKUP(E41,Data!$H:$CV,93,FALSE))</f>
        <v>Not Offered</v>
      </c>
      <c r="F40" s="11" t="str">
        <f>IF(F41="Not Offered","Not Offered",VLOOKUP(F41,Data!$H:$CV,93,FALSE))</f>
        <v>1102Z03AU0</v>
      </c>
      <c r="G40" s="13">
        <f>IF(G41="Not Offered","Not Offered",VLOOKUP(G41,Data!$H:$CV,93,FALSE))</f>
        <v>408303</v>
      </c>
      <c r="H40" s="11">
        <f>IF(H41="Not Offered","Not Offered",VLOOKUP(H41,Data!$H:$CV,93,FALSE))</f>
        <v>407749</v>
      </c>
    </row>
    <row r="41" spans="1:8" ht="24.95" customHeight="1" x14ac:dyDescent="0.2">
      <c r="A41" s="395"/>
      <c r="B41" s="66" t="s">
        <v>72</v>
      </c>
      <c r="C41" s="13" t="str">
        <f>Data!$H116</f>
        <v>bizhub C4001i</v>
      </c>
      <c r="D41" s="13" t="str">
        <f>Data!$H117</f>
        <v>Not Offered</v>
      </c>
      <c r="E41" s="13" t="str">
        <f>Data!$H122</f>
        <v>Not Offered</v>
      </c>
      <c r="F41" s="11" t="str">
        <f>Data!$H123</f>
        <v>Ecosys PA4000cx</v>
      </c>
      <c r="G41" s="13" t="str">
        <f>Data!$H128</f>
        <v>P C600</v>
      </c>
      <c r="H41" s="11" t="str">
        <f>Data!$H129</f>
        <v>SPC840DN</v>
      </c>
    </row>
    <row r="42" spans="1:8" ht="24.95" customHeight="1" x14ac:dyDescent="0.2">
      <c r="A42" s="395"/>
      <c r="B42" s="66" t="s">
        <v>33</v>
      </c>
      <c r="C42" s="13">
        <f>IF(C40="Not Offered","",VLOOKUP(C40,Data!$G:$BB,3,FALSE))</f>
        <v>40</v>
      </c>
      <c r="D42" s="11" t="str">
        <f>IF(D40="Not Offered","",VLOOKUP(D40,Data!$G:$BB,3,FALSE))</f>
        <v/>
      </c>
      <c r="E42" s="13" t="str">
        <f>IF(E40="Not Offered","",VLOOKUP(E40,Data!$G:$BB,3,FALSE))</f>
        <v/>
      </c>
      <c r="F42" s="11">
        <f>IF(F40="Not Offered","",VLOOKUP(F40,Data!$G:$BB,3,FALSE))</f>
        <v>40</v>
      </c>
      <c r="G42" s="13">
        <f>IF(G40="Not Offered","",VLOOKUP(G40,Data!$G:$BB,3,FALSE))</f>
        <v>40</v>
      </c>
      <c r="H42" s="11">
        <f>IF(H40="Not Offered","",VLOOKUP(H40,Data!$G:$BB,3,FALSE))</f>
        <v>45</v>
      </c>
    </row>
    <row r="43" spans="1:8" ht="24.95" customHeight="1" x14ac:dyDescent="0.2">
      <c r="A43" s="395"/>
      <c r="B43" s="66" t="s">
        <v>30</v>
      </c>
      <c r="C43" s="60">
        <f>IF(C40="Not Offered","",VLOOKUP(C40,Data!$G:$BB,4,FALSE))</f>
        <v>400000</v>
      </c>
      <c r="D43" s="59" t="str">
        <f>IF(D40="Not Offered","",VLOOKUP(D40,Data!$G:$BB,4,FALSE))</f>
        <v/>
      </c>
      <c r="E43" s="60" t="str">
        <f>IF(E40="Not Offered","",VLOOKUP(E40,Data!$G:$BB,4,FALSE))</f>
        <v/>
      </c>
      <c r="F43" s="59">
        <f>IF(F40="Not Offered","",VLOOKUP(F40,Data!$G:$BB,4,FALSE))</f>
        <v>900000</v>
      </c>
      <c r="G43" s="60">
        <f>IF(G40="Not Offered","",VLOOKUP(G40,Data!$G:$BB,4,FALSE))</f>
        <v>900000</v>
      </c>
      <c r="H43" s="59">
        <f>IF(H40="Not Offered","",VLOOKUP(H40,Data!$G:$BB,4,FALSE))</f>
        <v>3000000</v>
      </c>
    </row>
    <row r="44" spans="1:8" ht="24.95" customHeight="1" x14ac:dyDescent="0.2">
      <c r="A44" s="340"/>
      <c r="B44" s="66" t="s">
        <v>31</v>
      </c>
      <c r="C44" s="60">
        <f>IF(C40="Not Offered","",VLOOKUP(C40,Data!$G:$BB,5,FALSE))</f>
        <v>6667</v>
      </c>
      <c r="D44" s="59" t="str">
        <f>IF(D40="Not Offered","",VLOOKUP(D40,Data!$G:$BB,5,FALSE))</f>
        <v/>
      </c>
      <c r="E44" s="60" t="str">
        <f>IF(E40="Not Offered","",VLOOKUP(E40,Data!$G:$BB,5,FALSE))</f>
        <v/>
      </c>
      <c r="F44" s="59">
        <f>IF(F40="Not Offered","",VLOOKUP(F40,Data!$G:$BB,5,FALSE))</f>
        <v>15000</v>
      </c>
      <c r="G44" s="60">
        <f>IF(G40="Not Offered","",VLOOKUP(G40,Data!$G:$BB,5,FALSE))</f>
        <v>150000</v>
      </c>
      <c r="H44" s="59">
        <f>IF(H40="Not Offered","",VLOOKUP(H40,Data!$G:$BB,5,FALSE))</f>
        <v>200000</v>
      </c>
    </row>
    <row r="45" spans="1:8" ht="24.95" customHeight="1" x14ac:dyDescent="0.2">
      <c r="A45" s="435" t="s">
        <v>63</v>
      </c>
      <c r="B45" s="66" t="s">
        <v>64</v>
      </c>
      <c r="C45" s="94">
        <f>IF(C40="Not Offered","",VLOOKUP(C40,Data!$G:$BB,6,FALSE))</f>
        <v>1694.8816948800002</v>
      </c>
      <c r="D45" s="67" t="str">
        <f>IF(D40="Not Offered","",VLOOKUP(D40,Data!$G:$BB,6,FALSE))</f>
        <v/>
      </c>
      <c r="E45" s="94" t="str">
        <f>IF(E40="Not Offered","",VLOOKUP(E40,Data!$G:$BB,6,FALSE))</f>
        <v/>
      </c>
      <c r="F45" s="67">
        <f>IF(F40="Not Offered","",VLOOKUP(F40,Data!$G:$BB,6,FALSE))</f>
        <v>827.2</v>
      </c>
      <c r="G45" s="94">
        <f>IF(G40="Not Offered","",VLOOKUP(G40,Data!$G:$BB,6,FALSE))</f>
        <v>1095.336</v>
      </c>
      <c r="H45" s="67">
        <f>IF(H40="Not Offered","",VLOOKUP(H40,Data!$G:$BB,6,FALSE))</f>
        <v>3211.1640000000002</v>
      </c>
    </row>
    <row r="46" spans="1:8" ht="24.95" customHeight="1" x14ac:dyDescent="0.2">
      <c r="A46" s="436"/>
      <c r="B46" s="66" t="str">
        <f>$B$3&amp;" BW CPC"</f>
        <v>Zone 1 (Perth Metro) BW CPC</v>
      </c>
      <c r="C46" s="95">
        <f>IF(C40="Not Offered","",VLOOKUP(C40,Data!$G:$AL,5+2*(MATCH($B$3,Locations,0)),FALSE))</f>
        <v>7.1999999999999998E-3</v>
      </c>
      <c r="D46" s="68" t="str">
        <f>IF(D40="Not Offered","",VLOOKUP(D40,Data!$G:$AL,5+2*(MATCH($B$3,Locations,0)),FALSE))</f>
        <v/>
      </c>
      <c r="E46" s="95" t="str">
        <f>IF(E40="Not Offered","",VLOOKUP(E40,Data!$G:$AL,5+2*(MATCH($B$3,Locations,0)),FALSE))</f>
        <v/>
      </c>
      <c r="F46" s="68">
        <f>IF(F40="Not Offered","",VLOOKUP(F40,Data!$G:$AL,5+2*(MATCH($B$3,Locations,0)),FALSE))</f>
        <v>1.2319999999999999E-2</v>
      </c>
      <c r="G46" s="95">
        <f>IF(G40="Not Offered","",VLOOKUP(G40,Data!$G:$AL,5+2*(MATCH($B$3,Locations,0)),FALSE))</f>
        <v>7.7000000000000011E-3</v>
      </c>
      <c r="H46" s="68">
        <f>IF(H40="Not Offered","",VLOOKUP(H40,Data!$G:$AL,5+2*(MATCH($B$3,Locations,0)),FALSE))</f>
        <v>7.7000000000000011E-3</v>
      </c>
    </row>
    <row r="47" spans="1:8" ht="24.95" customHeight="1" x14ac:dyDescent="0.2">
      <c r="A47" s="436"/>
      <c r="B47" s="66" t="str">
        <f>$B$3&amp;" Colour CPC"</f>
        <v>Zone 1 (Perth Metro) Colour CPC</v>
      </c>
      <c r="C47" s="95">
        <f>IF(C40="Not Offered","",VLOOKUP(C40,Data!$G:$AL,6+2*(MATCH($B$3,Locations,0)),FALSE))</f>
        <v>6.6000000000000003E-2</v>
      </c>
      <c r="D47" s="68" t="str">
        <f>IF(D40="Not Offered","",VLOOKUP(D40,Data!$G:$AL,6+2*(MATCH($B$3,Locations,0)),FALSE))</f>
        <v/>
      </c>
      <c r="E47" s="95" t="str">
        <f>IF(E40="Not Offered","",VLOOKUP(E40,Data!$G:$AL,6+2*(MATCH($B$3,Locations,0)),FALSE))</f>
        <v/>
      </c>
      <c r="F47" s="68">
        <f>IF(F40="Not Offered","",VLOOKUP(F40,Data!$G:$AL,6+2*(MATCH($B$3,Locations,0)),FALSE))</f>
        <v>0.1012</v>
      </c>
      <c r="G47" s="95">
        <f>IF(G40="Not Offered","",VLOOKUP(G40,Data!$G:$AL,6+2*(MATCH($B$3,Locations,0)),FALSE))</f>
        <v>6.6000000000000003E-2</v>
      </c>
      <c r="H47" s="68">
        <f>IF(H40="Not Offered","",VLOOKUP(H40,Data!$G:$AL,6+2*(MATCH($B$3,Locations,0)),FALSE))</f>
        <v>7.7000000000000013E-2</v>
      </c>
    </row>
    <row r="48" spans="1:8" ht="24.95" customHeight="1" x14ac:dyDescent="0.2">
      <c r="A48" s="437"/>
      <c r="B48" s="66" t="str">
        <f>$B$3&amp;" Surcharge &amp; Installation"</f>
        <v>Zone 1 (Perth Metro) Surcharge &amp; Installation</v>
      </c>
      <c r="C48" s="228">
        <f>IF(C40="Not Offered","",IF($B$3="Zone 1 (Perth Metro)",0,VLOOKUP(C40,Data!$G:$BK,44+(MATCH($B$3,Locations,0)),FALSE)))</f>
        <v>0</v>
      </c>
      <c r="D48" s="227" t="str">
        <f>IF(D40="Not Offered","",IF($B$3="Zone 1 (Perth Metro)",0,VLOOKUP(D40,Data!$G:$BK,44+(MATCH($B$3,Locations,0)),FALSE)))</f>
        <v/>
      </c>
      <c r="E48" s="228" t="str">
        <f>IF(E40="Not Offered","",IF($B$3="Zone 1 (Perth Metro)",0,VLOOKUP(E40,Data!$G:$BK,44+(MATCH($B$3,Locations,0)),FALSE)))</f>
        <v/>
      </c>
      <c r="F48" s="229">
        <f>IF(F40="Not Offered","",IF($B$3="Zone 1 (Perth Metro)",0,VLOOKUP(F40,Data!$G:$BK,44+(MATCH($B$3,Locations,0)),FALSE)))</f>
        <v>0</v>
      </c>
      <c r="G48" s="228">
        <f>IF(G40="Not Offered","",IF($B$3="Zone 1 (Perth Metro)",0,VLOOKUP(G40,Data!$G:$BK,44+(MATCH($B$3,Locations,0)),FALSE)))</f>
        <v>0</v>
      </c>
      <c r="H48" s="229">
        <f>IF(H40="Not Offered","",IF($B$3="Zone 1 (Perth Metro)",0,VLOOKUP(H40,Data!$G:$BK,44+(MATCH($B$3,Locations,0)),FALSE)))</f>
        <v>0</v>
      </c>
    </row>
    <row r="49" spans="1:8" ht="24.95" customHeight="1" x14ac:dyDescent="0.2">
      <c r="A49" s="81" t="s">
        <v>70</v>
      </c>
      <c r="B49" s="66" t="s">
        <v>71</v>
      </c>
      <c r="C49" s="14" t="str">
        <f>IF(C41="Not Offered","",IF(C43&gt;=$D$3*5,"Y","N"))</f>
        <v>Y</v>
      </c>
      <c r="D49" s="4" t="str">
        <f t="shared" ref="D49:H49" si="6">IF(D41="Not Offered","",IF(D43&gt;=$D$3*5,"Y","N"))</f>
        <v/>
      </c>
      <c r="E49" s="14" t="str">
        <f t="shared" si="6"/>
        <v/>
      </c>
      <c r="F49" s="4" t="str">
        <f t="shared" si="6"/>
        <v>Y</v>
      </c>
      <c r="G49" s="14" t="str">
        <f t="shared" si="6"/>
        <v>Y</v>
      </c>
      <c r="H49" s="4" t="str">
        <f t="shared" si="6"/>
        <v>Y</v>
      </c>
    </row>
    <row r="50" spans="1:8" ht="24.95" customHeight="1" x14ac:dyDescent="0.2">
      <c r="A50" s="435" t="s">
        <v>66</v>
      </c>
      <c r="B50" s="66" t="s">
        <v>68</v>
      </c>
      <c r="C50" s="96">
        <f>IF(C41="Not Offered","",IF(C46="N/A","",IF(C49="Y",C45,((ROUNDUP(($D$3*5)/C43,0))*C45))+(C46*(1-$F$3)*$D$3*5)+C48+(C47*$F$3*$D$3*5)))</f>
        <v>6434.8816948800013</v>
      </c>
      <c r="D50" s="12" t="str">
        <f t="shared" ref="D50:G50" si="7">IF(D41="Not Offered","",IF(D46="N/A","",IF(D49="Y",D45,((ROUNDUP(($D$3*5)/D43,0))*D45))+(D46*(1-$F$3)*$D$3*5)+D48+(D47*$F$3*$D$3*5)))</f>
        <v/>
      </c>
      <c r="E50" s="96" t="str">
        <f t="shared" si="7"/>
        <v/>
      </c>
      <c r="F50" s="12">
        <f t="shared" si="7"/>
        <v>8351.2000000000007</v>
      </c>
      <c r="G50" s="96">
        <f t="shared" si="7"/>
        <v>5935.3360000000011</v>
      </c>
      <c r="H50" s="12">
        <f>IF(H41="Not Offered","",IF(H46="N/A","",IF(H49="Y",H45,((ROUNDUP(($D$3*5)/H43,0))*H45))+(H46*(1-$F$3)*$D$3*5)+H48+(H47*$F$3*$D$3*5)))</f>
        <v>8601.1640000000007</v>
      </c>
    </row>
    <row r="51" spans="1:8" ht="24.95" customHeight="1" x14ac:dyDescent="0.2">
      <c r="A51" s="340"/>
      <c r="B51" s="66" t="s">
        <v>67</v>
      </c>
      <c r="C51" s="13">
        <f t="shared" ref="C51:H51" si="8">IF(C50="","",IF(ISNA(RANK(C50,$A50:$H50)),"",RANK(C50,$A50:$H50,1)))</f>
        <v>2</v>
      </c>
      <c r="D51" s="11" t="str">
        <f t="shared" si="8"/>
        <v/>
      </c>
      <c r="E51" s="13" t="str">
        <f t="shared" si="8"/>
        <v/>
      </c>
      <c r="F51" s="11">
        <f t="shared" si="8"/>
        <v>3</v>
      </c>
      <c r="G51" s="13">
        <f t="shared" si="8"/>
        <v>1</v>
      </c>
      <c r="H51" s="11">
        <f t="shared" si="8"/>
        <v>4</v>
      </c>
    </row>
  </sheetData>
  <sheetProtection formatCells="0" formatColumns="0" formatRows="0" sort="0" autoFilter="0" pivotTables="0"/>
  <mergeCells count="30">
    <mergeCell ref="A50:A51"/>
    <mergeCell ref="E38:F38"/>
    <mergeCell ref="G38:H38"/>
    <mergeCell ref="C38:D38"/>
    <mergeCell ref="A38:A39"/>
    <mergeCell ref="B38:B39"/>
    <mergeCell ref="A45:A48"/>
    <mergeCell ref="A40:A44"/>
    <mergeCell ref="A37:H37"/>
    <mergeCell ref="A8:A12"/>
    <mergeCell ref="A18:A19"/>
    <mergeCell ref="A24:A28"/>
    <mergeCell ref="A21:H21"/>
    <mergeCell ref="A34:A35"/>
    <mergeCell ref="A13:A16"/>
    <mergeCell ref="A29:A32"/>
    <mergeCell ref="A1:L1"/>
    <mergeCell ref="A2:F2"/>
    <mergeCell ref="H2:L2"/>
    <mergeCell ref="C22:D22"/>
    <mergeCell ref="E22:F22"/>
    <mergeCell ref="G22:H22"/>
    <mergeCell ref="G6:H6"/>
    <mergeCell ref="A6:A7"/>
    <mergeCell ref="B6:B7"/>
    <mergeCell ref="C6:D6"/>
    <mergeCell ref="E6:F6"/>
    <mergeCell ref="A22:A23"/>
    <mergeCell ref="B22:B23"/>
    <mergeCell ref="A5:H5"/>
  </mergeCells>
  <conditionalFormatting sqref="C35 E35 G35">
    <cfRule type="cellIs" dxfId="104" priority="13" operator="between">
      <formula>2</formula>
      <formula>COUNT($C35:$L35)/4</formula>
    </cfRule>
  </conditionalFormatting>
  <conditionalFormatting sqref="C48">
    <cfRule type="expression" dxfId="103" priority="1">
      <formula>C$24="Not Offered"</formula>
    </cfRule>
  </conditionalFormatting>
  <conditionalFormatting sqref="C51 E51 G51">
    <cfRule type="cellIs" dxfId="102" priority="11" operator="between">
      <formula>2</formula>
      <formula>COUNT($C51:$L51)/4</formula>
    </cfRule>
    <cfRule type="cellIs" dxfId="101" priority="12" operator="equal">
      <formula>1</formula>
    </cfRule>
  </conditionalFormatting>
  <conditionalFormatting sqref="C8:H19">
    <cfRule type="expression" dxfId="100" priority="374">
      <formula>C$8="Not Offered"</formula>
    </cfRule>
  </conditionalFormatting>
  <conditionalFormatting sqref="C17:H17">
    <cfRule type="cellIs" dxfId="99" priority="25" operator="equal">
      <formula>"N"</formula>
    </cfRule>
  </conditionalFormatting>
  <conditionalFormatting sqref="C19:H19">
    <cfRule type="cellIs" dxfId="98" priority="24" operator="equal">
      <formula>1</formula>
    </cfRule>
    <cfRule type="cellIs" dxfId="97" priority="373" operator="between">
      <formula>2</formula>
      <formula>COUNT($C19:$L19)/4</formula>
    </cfRule>
    <cfRule type="cellIs" dxfId="96" priority="375" operator="equal">
      <formula>MAX($C19:$L19)</formula>
    </cfRule>
    <cfRule type="cellIs" dxfId="95" priority="376" operator="between">
      <formula>((COUNT($C19:$L19)/4)*3)+1</formula>
      <formula>MAX($C19:$J19)-1</formula>
    </cfRule>
  </conditionalFormatting>
  <conditionalFormatting sqref="C24:H35">
    <cfRule type="expression" dxfId="94" priority="18">
      <formula>C$24="Not Offered"</formula>
    </cfRule>
  </conditionalFormatting>
  <conditionalFormatting sqref="C33:H33">
    <cfRule type="cellIs" dxfId="93" priority="14" operator="equal">
      <formula>"N"</formula>
    </cfRule>
  </conditionalFormatting>
  <conditionalFormatting sqref="C35:H35">
    <cfRule type="cellIs" dxfId="92" priority="15" operator="equal">
      <formula>1</formula>
    </cfRule>
    <cfRule type="cellIs" dxfId="91" priority="20" operator="equal">
      <formula>MAX($C35:$L35)</formula>
    </cfRule>
    <cfRule type="cellIs" dxfId="90" priority="21" operator="between">
      <formula>((COUNT($C35:$L35)/4)*3)+1</formula>
      <formula>MAX($C35:$J35)-1</formula>
    </cfRule>
  </conditionalFormatting>
  <conditionalFormatting sqref="C49:H49">
    <cfRule type="cellIs" dxfId="89" priority="3" operator="equal">
      <formula>"N"</formula>
    </cfRule>
  </conditionalFormatting>
  <conditionalFormatting sqref="C49:H51 C40:H47 D48:H48">
    <cfRule type="expression" dxfId="88" priority="5">
      <formula>C$40="Not Offered"</formula>
    </cfRule>
  </conditionalFormatting>
  <conditionalFormatting sqref="C51:H51">
    <cfRule type="cellIs" dxfId="87" priority="2" operator="equal">
      <formula>1</formula>
    </cfRule>
    <cfRule type="cellIs" dxfId="86" priority="4" operator="between">
      <formula>2</formula>
      <formula>COUNT($C51:$L51)/4</formula>
    </cfRule>
    <cfRule type="cellIs" dxfId="85" priority="6" operator="equal">
      <formula>MAX($C51:$L51)</formula>
    </cfRule>
    <cfRule type="cellIs" dxfId="84" priority="7" operator="between">
      <formula>((COUNT($C51:$L51)/4)*3)+1</formula>
      <formula>MAX($C51:$J51)-1</formula>
    </cfRule>
  </conditionalFormatting>
  <conditionalFormatting sqref="D19">
    <cfRule type="cellIs" dxfId="83" priority="26" operator="equal">
      <formula>MAX($C19:$L19)</formula>
    </cfRule>
    <cfRule type="cellIs" dxfId="82" priority="27" operator="between">
      <formula>((COUNT($C19:$L19)/4)*3)+1</formula>
      <formula>MAX($C19:$J19)-1</formula>
    </cfRule>
    <cfRule type="cellIs" dxfId="81" priority="28" operator="between">
      <formula>2</formula>
      <formula>COUNT($C19:$L19)/4</formula>
    </cfRule>
    <cfRule type="cellIs" dxfId="80" priority="29" operator="equal">
      <formula>1</formula>
    </cfRule>
  </conditionalFormatting>
  <conditionalFormatting sqref="D35 F35 H35">
    <cfRule type="cellIs" dxfId="79" priority="16" operator="between">
      <formula>2</formula>
      <formula>COUNT($C35:$L35)/4</formula>
    </cfRule>
  </conditionalFormatting>
  <dataValidations count="3">
    <dataValidation type="decimal" allowBlank="1" showInputMessage="1" showErrorMessage="1" sqref="F3" xr:uid="{00000000-0002-0000-0700-000000000000}">
      <formula1>0</formula1>
      <formula2>1</formula2>
    </dataValidation>
    <dataValidation type="whole" allowBlank="1" showInputMessage="1" showErrorMessage="1" sqref="D3" xr:uid="{00000000-0002-0000-0700-000001000000}">
      <formula1>0</formula1>
      <formula2>5000000</formula2>
    </dataValidation>
    <dataValidation type="list" allowBlank="1" showInputMessage="1" showErrorMessage="1" sqref="B3" xr:uid="{00000000-0002-0000-0700-000002000000}">
      <formula1>Locations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8C528E"/>
  </sheetPr>
  <dimension ref="A1:J49"/>
  <sheetViews>
    <sheetView workbookViewId="0">
      <selection activeCell="C11" sqref="C11"/>
    </sheetView>
  </sheetViews>
  <sheetFormatPr defaultColWidth="9.140625" defaultRowHeight="12.75" x14ac:dyDescent="0.2"/>
  <cols>
    <col min="1" max="1" width="20.28515625" style="1" customWidth="1"/>
    <col min="2" max="2" width="14.28515625" style="1" customWidth="1"/>
    <col min="3" max="3" width="60.7109375" style="1" customWidth="1"/>
    <col min="4" max="4" width="9.140625" style="1"/>
    <col min="5" max="10" width="10.7109375" style="1" customWidth="1"/>
    <col min="11" max="16384" width="9.140625" style="1"/>
  </cols>
  <sheetData>
    <row r="1" spans="1:10" ht="20.100000000000001" customHeight="1" x14ac:dyDescent="0.2">
      <c r="A1" s="376" t="s">
        <v>1706</v>
      </c>
      <c r="B1" s="377"/>
      <c r="C1" s="377"/>
      <c r="D1" s="377"/>
      <c r="E1" s="377"/>
      <c r="F1" s="377"/>
      <c r="G1" s="377"/>
      <c r="H1" s="377"/>
      <c r="I1" s="377"/>
      <c r="J1" s="377"/>
    </row>
    <row r="2" spans="1:10" ht="17.45" customHeight="1" x14ac:dyDescent="0.2">
      <c r="A2" s="379" t="s">
        <v>1765</v>
      </c>
      <c r="B2" s="380"/>
      <c r="C2" s="380"/>
      <c r="D2" s="380"/>
      <c r="E2" s="380"/>
      <c r="F2" s="380"/>
      <c r="G2" s="380"/>
      <c r="H2" s="380"/>
      <c r="I2" s="380"/>
      <c r="J2" s="438"/>
    </row>
    <row r="3" spans="1:10" ht="17.45" customHeight="1" x14ac:dyDescent="0.2">
      <c r="A3" s="419" t="s">
        <v>1805</v>
      </c>
      <c r="B3" s="420"/>
      <c r="C3" s="420"/>
      <c r="D3" s="420"/>
      <c r="E3" s="420"/>
      <c r="F3" s="420"/>
      <c r="G3" s="420"/>
      <c r="H3" s="420"/>
      <c r="I3" s="420"/>
      <c r="J3" s="439"/>
    </row>
    <row r="4" spans="1:10" ht="9.9499999999999993" customHeight="1" x14ac:dyDescent="0.2">
      <c r="A4" s="175"/>
      <c r="B4" s="175"/>
      <c r="C4" s="175"/>
      <c r="D4" s="175"/>
      <c r="E4" s="175"/>
      <c r="F4" s="175"/>
      <c r="G4" s="175"/>
      <c r="H4" s="175"/>
      <c r="I4" s="175"/>
      <c r="J4" s="175"/>
    </row>
    <row r="5" spans="1:10" ht="30" customHeight="1" x14ac:dyDescent="0.2">
      <c r="A5" s="70" t="s">
        <v>42</v>
      </c>
      <c r="B5" s="70" t="s">
        <v>1253</v>
      </c>
      <c r="C5" s="142" t="s">
        <v>1254</v>
      </c>
      <c r="D5" s="70" t="s">
        <v>1368</v>
      </c>
      <c r="E5" s="70" t="s">
        <v>926</v>
      </c>
      <c r="F5" s="70" t="s">
        <v>927</v>
      </c>
      <c r="G5" s="70" t="s">
        <v>928</v>
      </c>
      <c r="H5" s="70" t="s">
        <v>929</v>
      </c>
      <c r="I5" s="70" t="s">
        <v>930</v>
      </c>
      <c r="J5" s="70" t="s">
        <v>931</v>
      </c>
    </row>
    <row r="6" spans="1:10" ht="30" customHeight="1" x14ac:dyDescent="0.2">
      <c r="A6" s="123" t="s">
        <v>10</v>
      </c>
      <c r="B6" s="123" t="s">
        <v>0</v>
      </c>
      <c r="C6" s="124" t="s">
        <v>1631</v>
      </c>
      <c r="D6" s="123" t="s">
        <v>0</v>
      </c>
      <c r="E6" s="122" t="str">
        <f ca="1">INDIRECT("Data!$H"&amp;COLUMN()+107)</f>
        <v>Not Offered</v>
      </c>
      <c r="F6" s="122" t="str">
        <f t="shared" ref="F6:J6" ca="1" si="0">INDIRECT("Data!$H"&amp;COLUMN()+107)</f>
        <v>Not Offered</v>
      </c>
      <c r="G6" s="122" t="str">
        <f t="shared" ca="1" si="0"/>
        <v>bizhub C3301i</v>
      </c>
      <c r="H6" s="122" t="str">
        <f t="shared" ca="1" si="0"/>
        <v>Not Offered</v>
      </c>
      <c r="I6" s="122" t="str">
        <f t="shared" ca="1" si="0"/>
        <v>bizhub C4001i</v>
      </c>
      <c r="J6" s="122" t="str">
        <f t="shared" ca="1" si="0"/>
        <v>Not Offered</v>
      </c>
    </row>
    <row r="7" spans="1:10" ht="20.100000000000001" customHeight="1" x14ac:dyDescent="0.2">
      <c r="A7" s="130" t="s">
        <v>10</v>
      </c>
      <c r="B7" s="130" t="s">
        <v>1410</v>
      </c>
      <c r="C7" s="136" t="s">
        <v>1411</v>
      </c>
      <c r="D7" s="131">
        <f>[1]Sheet1!C139*1.07</f>
        <v>108.28400000000001</v>
      </c>
      <c r="E7" s="121"/>
      <c r="F7" s="152"/>
      <c r="G7" s="121" t="s">
        <v>3</v>
      </c>
      <c r="H7" s="152"/>
      <c r="I7" s="121" t="s">
        <v>3</v>
      </c>
      <c r="J7" s="152"/>
    </row>
    <row r="8" spans="1:10" ht="20.100000000000001" customHeight="1" x14ac:dyDescent="0.2">
      <c r="A8" s="130" t="s">
        <v>10</v>
      </c>
      <c r="B8" s="132" t="s">
        <v>1414</v>
      </c>
      <c r="C8" s="136" t="s">
        <v>1415</v>
      </c>
      <c r="D8" s="131">
        <f>[1]Sheet1!C140*1.07</f>
        <v>177.13850000000002</v>
      </c>
      <c r="E8" s="121"/>
      <c r="F8" s="152"/>
      <c r="G8" s="121" t="s">
        <v>3</v>
      </c>
      <c r="H8" s="152"/>
      <c r="I8" s="121" t="s">
        <v>3</v>
      </c>
      <c r="J8" s="152"/>
    </row>
    <row r="9" spans="1:10" ht="20.100000000000001" customHeight="1" x14ac:dyDescent="0.2">
      <c r="A9" s="130" t="s">
        <v>10</v>
      </c>
      <c r="B9" s="132" t="s">
        <v>1491</v>
      </c>
      <c r="C9" s="136" t="s">
        <v>1492</v>
      </c>
      <c r="D9" s="131">
        <f>[1]Sheet1!C141*1.07</f>
        <v>249.52400000000003</v>
      </c>
      <c r="E9" s="121"/>
      <c r="F9" s="152"/>
      <c r="G9" s="121" t="s">
        <v>3</v>
      </c>
      <c r="H9" s="152"/>
      <c r="I9" s="121" t="s">
        <v>3</v>
      </c>
      <c r="J9" s="152"/>
    </row>
    <row r="10" spans="1:10" ht="20.100000000000001" customHeight="1" x14ac:dyDescent="0.2">
      <c r="A10" s="130" t="s">
        <v>10</v>
      </c>
      <c r="B10" s="132" t="s">
        <v>2453</v>
      </c>
      <c r="C10" s="136" t="s">
        <v>2454</v>
      </c>
      <c r="D10" s="131">
        <v>174.19</v>
      </c>
      <c r="E10" s="121"/>
      <c r="F10" s="152"/>
      <c r="G10" s="121" t="s">
        <v>2</v>
      </c>
      <c r="H10" s="152"/>
      <c r="I10" s="121" t="s">
        <v>2</v>
      </c>
      <c r="J10" s="152"/>
    </row>
    <row r="11" spans="1:10" ht="20.100000000000001" customHeight="1" x14ac:dyDescent="0.2">
      <c r="A11" s="130" t="s">
        <v>10</v>
      </c>
      <c r="B11" s="132" t="s">
        <v>1499</v>
      </c>
      <c r="C11" s="136" t="s">
        <v>1500</v>
      </c>
      <c r="D11" s="131">
        <v>5.5</v>
      </c>
      <c r="E11" s="121"/>
      <c r="F11" s="152"/>
      <c r="G11" s="121" t="s">
        <v>2</v>
      </c>
      <c r="H11" s="152"/>
      <c r="I11" s="121" t="s">
        <v>2</v>
      </c>
      <c r="J11" s="152"/>
    </row>
    <row r="12" spans="1:10" ht="20.100000000000001" customHeight="1" x14ac:dyDescent="0.2">
      <c r="A12" s="130" t="s">
        <v>10</v>
      </c>
      <c r="B12" s="133" t="s">
        <v>1501</v>
      </c>
      <c r="C12" s="136" t="s">
        <v>1502</v>
      </c>
      <c r="D12" s="131">
        <v>99</v>
      </c>
      <c r="E12" s="121"/>
      <c r="F12" s="152"/>
      <c r="G12" s="121" t="s">
        <v>2</v>
      </c>
      <c r="H12" s="152"/>
      <c r="I12" s="121" t="s">
        <v>2</v>
      </c>
      <c r="J12" s="152"/>
    </row>
    <row r="13" spans="1:10" ht="30" customHeight="1" x14ac:dyDescent="0.2">
      <c r="A13" s="123" t="s">
        <v>7</v>
      </c>
      <c r="B13" s="123" t="s">
        <v>0</v>
      </c>
      <c r="C13" s="124" t="s">
        <v>1631</v>
      </c>
      <c r="D13" s="123" t="s">
        <v>0</v>
      </c>
      <c r="E13" s="122" t="str">
        <f ca="1">INDIRECT("Data!$H"&amp;COLUMN()+113)</f>
        <v>Not Offered</v>
      </c>
      <c r="F13" s="122" t="str">
        <f t="shared" ref="F13:J13" ca="1" si="1">INDIRECT("Data!$H"&amp;COLUMN()+113)</f>
        <v>Ecosys P5026CDN</v>
      </c>
      <c r="G13" s="122" t="str">
        <f t="shared" ca="1" si="1"/>
        <v>Ecosys PA3500cx</v>
      </c>
      <c r="H13" s="122" t="str">
        <f t="shared" ca="1" si="1"/>
        <v>Not Offered</v>
      </c>
      <c r="I13" s="122" t="str">
        <f t="shared" ca="1" si="1"/>
        <v>Not Offered</v>
      </c>
      <c r="J13" s="122" t="str">
        <f t="shared" ca="1" si="1"/>
        <v>Ecosys PA4000cx</v>
      </c>
    </row>
    <row r="14" spans="1:10" ht="20.100000000000001" customHeight="1" x14ac:dyDescent="0.2">
      <c r="A14" s="130" t="s">
        <v>7</v>
      </c>
      <c r="B14" s="137" t="s">
        <v>1255</v>
      </c>
      <c r="C14" s="138" t="s">
        <v>1256</v>
      </c>
      <c r="D14" s="131">
        <v>162.80000000000001</v>
      </c>
      <c r="E14" s="121" t="s">
        <v>3</v>
      </c>
      <c r="F14" s="152" t="s">
        <v>3</v>
      </c>
      <c r="G14" s="121" t="s">
        <v>3</v>
      </c>
      <c r="H14" s="152" t="s">
        <v>2</v>
      </c>
      <c r="I14" s="121" t="s">
        <v>2</v>
      </c>
      <c r="J14" s="152" t="s">
        <v>3</v>
      </c>
    </row>
    <row r="15" spans="1:10" ht="20.100000000000001" customHeight="1" x14ac:dyDescent="0.2">
      <c r="A15" s="130" t="s">
        <v>7</v>
      </c>
      <c r="B15" s="137" t="s">
        <v>1257</v>
      </c>
      <c r="C15" s="138" t="s">
        <v>1258</v>
      </c>
      <c r="D15" s="131">
        <v>260.7</v>
      </c>
      <c r="E15" s="121" t="s">
        <v>3</v>
      </c>
      <c r="F15" s="152" t="s">
        <v>3</v>
      </c>
      <c r="G15" s="121" t="s">
        <v>3</v>
      </c>
      <c r="H15" s="152" t="s">
        <v>2</v>
      </c>
      <c r="I15" s="121" t="s">
        <v>2</v>
      </c>
      <c r="J15" s="152" t="s">
        <v>3</v>
      </c>
    </row>
    <row r="16" spans="1:10" ht="20.100000000000001" customHeight="1" x14ac:dyDescent="0.2">
      <c r="A16" s="130" t="s">
        <v>7</v>
      </c>
      <c r="B16" s="137" t="s">
        <v>1661</v>
      </c>
      <c r="C16" s="138" t="s">
        <v>1662</v>
      </c>
      <c r="D16" s="131">
        <v>180.68</v>
      </c>
      <c r="E16" s="121" t="s">
        <v>2</v>
      </c>
      <c r="F16" s="152" t="s">
        <v>2</v>
      </c>
      <c r="G16" s="121" t="s">
        <v>3</v>
      </c>
      <c r="H16" s="152" t="s">
        <v>3</v>
      </c>
      <c r="I16" s="121" t="s">
        <v>3</v>
      </c>
      <c r="J16" s="152" t="s">
        <v>3</v>
      </c>
    </row>
    <row r="17" spans="1:10" ht="20.100000000000001" customHeight="1" x14ac:dyDescent="0.2">
      <c r="A17" s="130" t="s">
        <v>7</v>
      </c>
      <c r="B17" s="137" t="s">
        <v>1268</v>
      </c>
      <c r="C17" s="138" t="s">
        <v>1269</v>
      </c>
      <c r="D17" s="131">
        <v>266.2</v>
      </c>
      <c r="E17" s="121" t="s">
        <v>3</v>
      </c>
      <c r="F17" s="152" t="s">
        <v>3</v>
      </c>
      <c r="G17" s="121" t="s">
        <v>2</v>
      </c>
      <c r="H17" s="152" t="s">
        <v>2</v>
      </c>
      <c r="I17" s="121" t="s">
        <v>2</v>
      </c>
      <c r="J17" s="152" t="s">
        <v>3</v>
      </c>
    </row>
    <row r="18" spans="1:10" ht="20.100000000000001" customHeight="1" x14ac:dyDescent="0.2">
      <c r="A18" s="130" t="s">
        <v>7</v>
      </c>
      <c r="B18" s="137" t="s">
        <v>2422</v>
      </c>
      <c r="C18" s="138" t="s">
        <v>2423</v>
      </c>
      <c r="D18" s="131">
        <v>222.2</v>
      </c>
      <c r="E18" s="121" t="s">
        <v>3</v>
      </c>
      <c r="F18" s="152" t="s">
        <v>3</v>
      </c>
      <c r="G18" s="121" t="s">
        <v>3</v>
      </c>
      <c r="H18" s="152" t="s">
        <v>3</v>
      </c>
      <c r="I18" s="121" t="s">
        <v>3</v>
      </c>
      <c r="J18" s="152" t="s">
        <v>3</v>
      </c>
    </row>
    <row r="19" spans="1:10" ht="20.100000000000001" customHeight="1" x14ac:dyDescent="0.2">
      <c r="A19" s="130" t="s">
        <v>7</v>
      </c>
      <c r="B19" s="137" t="s">
        <v>2413</v>
      </c>
      <c r="C19" s="138" t="s">
        <v>2424</v>
      </c>
      <c r="D19" s="131">
        <v>176</v>
      </c>
      <c r="E19" s="121" t="s">
        <v>3</v>
      </c>
      <c r="F19" s="152" t="s">
        <v>3</v>
      </c>
      <c r="G19" s="121" t="s">
        <v>3</v>
      </c>
      <c r="H19" s="152" t="s">
        <v>3</v>
      </c>
      <c r="I19" s="121" t="s">
        <v>3</v>
      </c>
      <c r="J19" s="152" t="s">
        <v>3</v>
      </c>
    </row>
    <row r="20" spans="1:10" ht="20.100000000000001" customHeight="1" x14ac:dyDescent="0.2">
      <c r="A20" s="130" t="s">
        <v>7</v>
      </c>
      <c r="B20" s="137" t="s">
        <v>1262</v>
      </c>
      <c r="C20" s="138" t="s">
        <v>1663</v>
      </c>
      <c r="D20" s="131">
        <v>573.1</v>
      </c>
      <c r="E20" s="121" t="s">
        <v>3</v>
      </c>
      <c r="F20" s="152" t="s">
        <v>3</v>
      </c>
      <c r="G20" s="121" t="s">
        <v>3</v>
      </c>
      <c r="H20" s="152" t="s">
        <v>3</v>
      </c>
      <c r="I20" s="121" t="s">
        <v>3</v>
      </c>
      <c r="J20" s="152" t="s">
        <v>2</v>
      </c>
    </row>
    <row r="21" spans="1:10" ht="20.100000000000001" customHeight="1" x14ac:dyDescent="0.2">
      <c r="A21" s="130" t="s">
        <v>7</v>
      </c>
      <c r="B21" s="137" t="s">
        <v>1264</v>
      </c>
      <c r="C21" s="138" t="s">
        <v>1664</v>
      </c>
      <c r="D21" s="131">
        <v>726</v>
      </c>
      <c r="E21" s="121" t="s">
        <v>3</v>
      </c>
      <c r="F21" s="152" t="s">
        <v>3</v>
      </c>
      <c r="G21" s="121" t="s">
        <v>3</v>
      </c>
      <c r="H21" s="152" t="s">
        <v>3</v>
      </c>
      <c r="I21" s="121" t="s">
        <v>3</v>
      </c>
      <c r="J21" s="152" t="s">
        <v>2</v>
      </c>
    </row>
    <row r="22" spans="1:10" ht="20.100000000000001" customHeight="1" x14ac:dyDescent="0.2">
      <c r="A22" s="130" t="s">
        <v>7</v>
      </c>
      <c r="B22" s="137" t="s">
        <v>1266</v>
      </c>
      <c r="C22" s="138" t="s">
        <v>1665</v>
      </c>
      <c r="D22" s="131">
        <v>638</v>
      </c>
      <c r="E22" s="121" t="s">
        <v>3</v>
      </c>
      <c r="F22" s="152" t="s">
        <v>3</v>
      </c>
      <c r="G22" s="121" t="s">
        <v>3</v>
      </c>
      <c r="H22" s="152" t="s">
        <v>3</v>
      </c>
      <c r="I22" s="121" t="s">
        <v>3</v>
      </c>
      <c r="J22" s="152" t="s">
        <v>2</v>
      </c>
    </row>
    <row r="23" spans="1:10" ht="20.100000000000001" customHeight="1" x14ac:dyDescent="0.2">
      <c r="A23" s="130" t="s">
        <v>7</v>
      </c>
      <c r="B23" s="137" t="s">
        <v>1310</v>
      </c>
      <c r="C23" s="138" t="s">
        <v>1311</v>
      </c>
      <c r="D23" s="131">
        <v>270.60000000000002</v>
      </c>
      <c r="E23" s="121" t="s">
        <v>3</v>
      </c>
      <c r="F23" s="152" t="s">
        <v>3</v>
      </c>
      <c r="G23" s="121" t="s">
        <v>2</v>
      </c>
      <c r="H23" s="152" t="s">
        <v>2</v>
      </c>
      <c r="I23" s="121" t="s">
        <v>2</v>
      </c>
      <c r="J23" s="152" t="s">
        <v>3</v>
      </c>
    </row>
    <row r="24" spans="1:10" ht="20.100000000000001" customHeight="1" x14ac:dyDescent="0.2">
      <c r="A24" s="130" t="s">
        <v>7</v>
      </c>
      <c r="B24" s="137" t="s">
        <v>1312</v>
      </c>
      <c r="C24" s="138" t="s">
        <v>1313</v>
      </c>
      <c r="D24" s="131">
        <v>380.6</v>
      </c>
      <c r="E24" s="121" t="s">
        <v>3</v>
      </c>
      <c r="F24" s="152" t="s">
        <v>3</v>
      </c>
      <c r="G24" s="121" t="s">
        <v>2</v>
      </c>
      <c r="H24" s="152" t="s">
        <v>2</v>
      </c>
      <c r="I24" s="121" t="s">
        <v>2</v>
      </c>
      <c r="J24" s="152" t="s">
        <v>3</v>
      </c>
    </row>
    <row r="25" spans="1:10" ht="20.100000000000001" customHeight="1" x14ac:dyDescent="0.2">
      <c r="A25" s="130" t="s">
        <v>7</v>
      </c>
      <c r="B25" s="137" t="s">
        <v>1318</v>
      </c>
      <c r="C25" s="138" t="s">
        <v>1319</v>
      </c>
      <c r="D25" s="131">
        <v>460.9</v>
      </c>
      <c r="E25" s="121" t="s">
        <v>3</v>
      </c>
      <c r="F25" s="152" t="s">
        <v>3</v>
      </c>
      <c r="G25" s="121" t="s">
        <v>2</v>
      </c>
      <c r="H25" s="152" t="s">
        <v>2</v>
      </c>
      <c r="I25" s="121" t="s">
        <v>2</v>
      </c>
      <c r="J25" s="152" t="s">
        <v>2</v>
      </c>
    </row>
    <row r="26" spans="1:10" ht="20.100000000000001" customHeight="1" x14ac:dyDescent="0.2">
      <c r="A26" s="130" t="s">
        <v>7</v>
      </c>
      <c r="B26" s="137" t="s">
        <v>1666</v>
      </c>
      <c r="C26" s="138" t="s">
        <v>1667</v>
      </c>
      <c r="D26" s="131">
        <v>211.2</v>
      </c>
      <c r="E26" s="121" t="s">
        <v>2</v>
      </c>
      <c r="F26" s="152" t="s">
        <v>2</v>
      </c>
      <c r="G26" s="121" t="s">
        <v>2</v>
      </c>
      <c r="H26" s="152" t="s">
        <v>2</v>
      </c>
      <c r="I26" s="121" t="s">
        <v>2</v>
      </c>
      <c r="J26" s="152" t="s">
        <v>3</v>
      </c>
    </row>
    <row r="27" spans="1:10" ht="20.100000000000001" customHeight="1" x14ac:dyDescent="0.2">
      <c r="A27" s="130" t="s">
        <v>7</v>
      </c>
      <c r="B27" s="137" t="s">
        <v>1668</v>
      </c>
      <c r="C27" s="138" t="s">
        <v>1669</v>
      </c>
      <c r="D27" s="131">
        <v>470.8</v>
      </c>
      <c r="E27" s="121" t="s">
        <v>3</v>
      </c>
      <c r="F27" s="152" t="s">
        <v>3</v>
      </c>
      <c r="G27" s="121" t="s">
        <v>2</v>
      </c>
      <c r="H27" s="152" t="s">
        <v>2</v>
      </c>
      <c r="I27" s="121" t="s">
        <v>2</v>
      </c>
      <c r="J27" s="152" t="s">
        <v>3</v>
      </c>
    </row>
    <row r="28" spans="1:10" ht="20.100000000000001" customHeight="1" x14ac:dyDescent="0.2">
      <c r="A28" s="130" t="s">
        <v>7</v>
      </c>
      <c r="B28" s="137" t="s">
        <v>1670</v>
      </c>
      <c r="C28" s="138" t="s">
        <v>1671</v>
      </c>
      <c r="D28" s="131">
        <v>935</v>
      </c>
      <c r="E28" s="121" t="s">
        <v>3</v>
      </c>
      <c r="F28" s="152" t="s">
        <v>3</v>
      </c>
      <c r="G28" s="121" t="s">
        <v>3</v>
      </c>
      <c r="H28" s="152" t="s">
        <v>3</v>
      </c>
      <c r="I28" s="121" t="s">
        <v>3</v>
      </c>
      <c r="J28" s="152" t="s">
        <v>2</v>
      </c>
    </row>
    <row r="29" spans="1:10" ht="20.100000000000001" customHeight="1" x14ac:dyDescent="0.2">
      <c r="A29" s="130" t="s">
        <v>7</v>
      </c>
      <c r="B29" s="137" t="s">
        <v>1672</v>
      </c>
      <c r="C29" s="138" t="s">
        <v>1673</v>
      </c>
      <c r="D29" s="131">
        <v>1188</v>
      </c>
      <c r="E29" s="121" t="s">
        <v>3</v>
      </c>
      <c r="F29" s="152" t="s">
        <v>3</v>
      </c>
      <c r="G29" s="121" t="s">
        <v>3</v>
      </c>
      <c r="H29" s="152" t="s">
        <v>3</v>
      </c>
      <c r="I29" s="121" t="s">
        <v>3</v>
      </c>
      <c r="J29" s="152" t="s">
        <v>2</v>
      </c>
    </row>
    <row r="30" spans="1:10" ht="20.100000000000001" customHeight="1" x14ac:dyDescent="0.2">
      <c r="A30" s="130" t="s">
        <v>7</v>
      </c>
      <c r="B30" s="137" t="s">
        <v>2425</v>
      </c>
      <c r="C30" s="138" t="s">
        <v>2426</v>
      </c>
      <c r="D30" s="138">
        <v>144.1</v>
      </c>
      <c r="E30" s="121" t="s">
        <v>3</v>
      </c>
      <c r="F30" s="152" t="s">
        <v>3</v>
      </c>
      <c r="G30" s="121" t="s">
        <v>3</v>
      </c>
      <c r="H30" s="152" t="s">
        <v>3</v>
      </c>
      <c r="I30" s="121" t="s">
        <v>3</v>
      </c>
      <c r="J30" s="152" t="s">
        <v>2</v>
      </c>
    </row>
    <row r="31" spans="1:10" ht="19.5" customHeight="1" x14ac:dyDescent="0.2">
      <c r="A31" s="130" t="s">
        <v>7</v>
      </c>
      <c r="B31" s="137" t="s">
        <v>2427</v>
      </c>
      <c r="C31" s="138" t="s">
        <v>2428</v>
      </c>
      <c r="D31" s="138">
        <v>211.2</v>
      </c>
      <c r="E31" s="121" t="s">
        <v>3</v>
      </c>
      <c r="F31" s="152" t="s">
        <v>3</v>
      </c>
      <c r="G31" s="121" t="s">
        <v>3</v>
      </c>
      <c r="H31" s="152" t="s">
        <v>3</v>
      </c>
      <c r="I31" s="121" t="s">
        <v>3</v>
      </c>
      <c r="J31" s="152" t="s">
        <v>2</v>
      </c>
    </row>
    <row r="32" spans="1:10" x14ac:dyDescent="0.2">
      <c r="A32" s="123" t="s">
        <v>8</v>
      </c>
      <c r="B32" s="123"/>
      <c r="C32" s="124" t="s">
        <v>1631</v>
      </c>
      <c r="D32" s="128"/>
      <c r="E32" s="129" t="str">
        <f ca="1">INDIRECT("Data!$H"&amp;COLUMN()+119)</f>
        <v>P C311W</v>
      </c>
      <c r="F32" s="129" t="str">
        <f t="shared" ref="F32:J32" ca="1" si="2">INDIRECT("Data!$H"&amp;COLUMN()+119)</f>
        <v>M C251FW</v>
      </c>
      <c r="G32" s="129" t="str">
        <f t="shared" ca="1" si="2"/>
        <v>Not Offered</v>
      </c>
      <c r="H32" s="129" t="str">
        <f t="shared" ca="1" si="2"/>
        <v>Not Offered</v>
      </c>
      <c r="I32" s="129" t="str">
        <f t="shared" ca="1" si="2"/>
        <v>P C600</v>
      </c>
      <c r="J32" s="129" t="str">
        <f t="shared" ca="1" si="2"/>
        <v>SPC840DN</v>
      </c>
    </row>
    <row r="33" spans="1:10" ht="20.100000000000001" customHeight="1" x14ac:dyDescent="0.2">
      <c r="A33" s="250" t="s">
        <v>8</v>
      </c>
      <c r="B33" s="251" t="s">
        <v>1651</v>
      </c>
      <c r="C33" s="247" t="s">
        <v>1652</v>
      </c>
      <c r="D33" s="252">
        <f>135*1.1</f>
        <v>148.5</v>
      </c>
      <c r="E33" s="121" t="s">
        <v>2</v>
      </c>
      <c r="F33" s="152" t="s">
        <v>2</v>
      </c>
      <c r="G33" s="257"/>
      <c r="H33" s="152"/>
      <c r="I33" s="152" t="s">
        <v>3</v>
      </c>
      <c r="J33" s="121" t="s">
        <v>3</v>
      </c>
    </row>
    <row r="34" spans="1:10" ht="20.100000000000001" customHeight="1" x14ac:dyDescent="0.2">
      <c r="A34" s="250" t="s">
        <v>8</v>
      </c>
      <c r="B34" s="251" t="s">
        <v>2246</v>
      </c>
      <c r="C34" s="247" t="s">
        <v>2247</v>
      </c>
      <c r="D34" s="252">
        <f>485.03*1.1</f>
        <v>533.53300000000002</v>
      </c>
      <c r="E34" s="121" t="s">
        <v>3</v>
      </c>
      <c r="F34" s="152" t="s">
        <v>3</v>
      </c>
      <c r="G34" s="257"/>
      <c r="H34" s="152"/>
      <c r="I34" s="152" t="s">
        <v>2</v>
      </c>
      <c r="J34" s="121" t="s">
        <v>3</v>
      </c>
    </row>
    <row r="35" spans="1:10" ht="20.100000000000001" customHeight="1" x14ac:dyDescent="0.2">
      <c r="A35" s="250" t="s">
        <v>8</v>
      </c>
      <c r="B35" s="251" t="s">
        <v>1646</v>
      </c>
      <c r="C35" s="247" t="s">
        <v>2248</v>
      </c>
      <c r="D35" s="252">
        <f>528.12*1.1</f>
        <v>580.93200000000002</v>
      </c>
      <c r="E35" s="121" t="s">
        <v>3</v>
      </c>
      <c r="F35" s="152" t="s">
        <v>3</v>
      </c>
      <c r="G35" s="257"/>
      <c r="H35" s="152"/>
      <c r="I35" s="152" t="s">
        <v>3</v>
      </c>
      <c r="J35" s="121" t="s">
        <v>2</v>
      </c>
    </row>
    <row r="36" spans="1:10" ht="25.5" x14ac:dyDescent="0.2">
      <c r="A36" s="250" t="s">
        <v>8</v>
      </c>
      <c r="B36" s="251" t="s">
        <v>1647</v>
      </c>
      <c r="C36" s="253" t="s">
        <v>2249</v>
      </c>
      <c r="D36" s="252">
        <f>386.64*1.1</f>
        <v>425.30400000000003</v>
      </c>
      <c r="E36" s="121" t="s">
        <v>3</v>
      </c>
      <c r="F36" s="152" t="s">
        <v>3</v>
      </c>
      <c r="G36" s="257"/>
      <c r="H36" s="152"/>
      <c r="I36" s="152" t="s">
        <v>3</v>
      </c>
      <c r="J36" s="121" t="s">
        <v>2</v>
      </c>
    </row>
    <row r="37" spans="1:10" ht="20.100000000000001" customHeight="1" x14ac:dyDescent="0.2">
      <c r="A37" s="250" t="s">
        <v>8</v>
      </c>
      <c r="B37" s="251" t="s">
        <v>1639</v>
      </c>
      <c r="C37" s="247" t="s">
        <v>2250</v>
      </c>
      <c r="D37" s="252">
        <f>340.2*1.1</f>
        <v>374.22</v>
      </c>
      <c r="E37" s="121" t="s">
        <v>3</v>
      </c>
      <c r="F37" s="152" t="s">
        <v>3</v>
      </c>
      <c r="G37" s="257"/>
      <c r="H37" s="152"/>
      <c r="I37" s="152" t="s">
        <v>3</v>
      </c>
      <c r="J37" s="121" t="s">
        <v>2</v>
      </c>
    </row>
    <row r="38" spans="1:10" ht="20.100000000000001" customHeight="1" x14ac:dyDescent="0.2">
      <c r="A38" s="250" t="s">
        <v>8</v>
      </c>
      <c r="B38" s="251" t="s">
        <v>2251</v>
      </c>
      <c r="C38" s="247" t="s">
        <v>2252</v>
      </c>
      <c r="D38" s="252">
        <f>466.56*1.1</f>
        <v>513.21600000000001</v>
      </c>
      <c r="E38" s="121" t="s">
        <v>3</v>
      </c>
      <c r="F38" s="152" t="s">
        <v>3</v>
      </c>
      <c r="G38" s="257"/>
      <c r="H38" s="152"/>
      <c r="I38" s="152" t="s">
        <v>2</v>
      </c>
      <c r="J38" s="121" t="s">
        <v>3</v>
      </c>
    </row>
    <row r="39" spans="1:10" ht="20.100000000000001" customHeight="1" x14ac:dyDescent="0.2">
      <c r="A39" s="250" t="s">
        <v>8</v>
      </c>
      <c r="B39" s="251" t="s">
        <v>1653</v>
      </c>
      <c r="C39" s="247" t="s">
        <v>2253</v>
      </c>
      <c r="D39" s="252">
        <f>318.6*1.1</f>
        <v>350.46000000000004</v>
      </c>
      <c r="E39" s="121" t="s">
        <v>3</v>
      </c>
      <c r="F39" s="152" t="s">
        <v>3</v>
      </c>
      <c r="G39" s="257"/>
      <c r="H39" s="152"/>
      <c r="I39" s="152" t="s">
        <v>3</v>
      </c>
      <c r="J39" s="121" t="s">
        <v>2</v>
      </c>
    </row>
    <row r="40" spans="1:10" ht="20.100000000000001" customHeight="1" x14ac:dyDescent="0.2">
      <c r="A40" s="250" t="s">
        <v>8</v>
      </c>
      <c r="B40" s="251" t="s">
        <v>2254</v>
      </c>
      <c r="C40" s="247" t="s">
        <v>2255</v>
      </c>
      <c r="D40" s="252">
        <f>422.82*1.1</f>
        <v>465.10200000000003</v>
      </c>
      <c r="E40" s="121" t="s">
        <v>3</v>
      </c>
      <c r="F40" s="152" t="s">
        <v>3</v>
      </c>
      <c r="G40" s="257"/>
      <c r="H40" s="152"/>
      <c r="I40" s="152" t="s">
        <v>2</v>
      </c>
      <c r="J40" s="121" t="s">
        <v>3</v>
      </c>
    </row>
    <row r="41" spans="1:10" ht="20.100000000000001" customHeight="1" x14ac:dyDescent="0.2">
      <c r="A41" s="250" t="s">
        <v>8</v>
      </c>
      <c r="B41" s="251" t="s">
        <v>2256</v>
      </c>
      <c r="C41" s="247" t="s">
        <v>2257</v>
      </c>
      <c r="D41" s="252">
        <f>304.56*1.1</f>
        <v>335.01600000000002</v>
      </c>
      <c r="E41" s="121" t="s">
        <v>3</v>
      </c>
      <c r="F41" s="152" t="s">
        <v>3</v>
      </c>
      <c r="G41" s="257"/>
      <c r="H41" s="152"/>
      <c r="I41" s="152" t="s">
        <v>3</v>
      </c>
      <c r="J41" s="121" t="s">
        <v>2</v>
      </c>
    </row>
    <row r="42" spans="1:10" ht="20.100000000000001" customHeight="1" x14ac:dyDescent="0.2">
      <c r="A42" s="250" t="s">
        <v>8</v>
      </c>
      <c r="B42" s="251" t="s">
        <v>1648</v>
      </c>
      <c r="C42" s="247" t="s">
        <v>2258</v>
      </c>
      <c r="D42" s="252">
        <f>(549.72+102.6)*1.1</f>
        <v>717.55200000000013</v>
      </c>
      <c r="E42" s="121" t="s">
        <v>3</v>
      </c>
      <c r="F42" s="152" t="s">
        <v>3</v>
      </c>
      <c r="G42" s="257"/>
      <c r="H42" s="152"/>
      <c r="I42" s="152" t="s">
        <v>3</v>
      </c>
      <c r="J42" s="121" t="s">
        <v>2</v>
      </c>
    </row>
    <row r="43" spans="1:10" ht="20.100000000000001" customHeight="1" x14ac:dyDescent="0.2">
      <c r="A43" s="250" t="s">
        <v>8</v>
      </c>
      <c r="B43" s="251" t="s">
        <v>1642</v>
      </c>
      <c r="C43" s="247" t="s">
        <v>2259</v>
      </c>
      <c r="D43" s="252">
        <f>(1271.16+102.6)*1.1</f>
        <v>1511.1360000000002</v>
      </c>
      <c r="E43" s="121" t="s">
        <v>3</v>
      </c>
      <c r="F43" s="152" t="s">
        <v>3</v>
      </c>
      <c r="G43" s="257"/>
      <c r="H43" s="152"/>
      <c r="I43" s="152" t="s">
        <v>3</v>
      </c>
      <c r="J43" s="121" t="s">
        <v>2</v>
      </c>
    </row>
    <row r="44" spans="1:10" ht="20.100000000000001" customHeight="1" x14ac:dyDescent="0.2">
      <c r="A44" s="250" t="s">
        <v>8</v>
      </c>
      <c r="B44" s="251" t="s">
        <v>1643</v>
      </c>
      <c r="C44" s="247" t="s">
        <v>2260</v>
      </c>
      <c r="D44" s="252">
        <f>(1204.04+102.6)*1.1</f>
        <v>1437.3040000000001</v>
      </c>
      <c r="E44" s="121" t="s">
        <v>3</v>
      </c>
      <c r="F44" s="152" t="s">
        <v>3</v>
      </c>
      <c r="G44" s="257"/>
      <c r="H44" s="152"/>
      <c r="I44" s="152" t="s">
        <v>3</v>
      </c>
      <c r="J44" s="121" t="s">
        <v>2</v>
      </c>
    </row>
    <row r="45" spans="1:10" ht="25.5" x14ac:dyDescent="0.2">
      <c r="A45" s="250" t="s">
        <v>8</v>
      </c>
      <c r="B45" s="251" t="s">
        <v>1644</v>
      </c>
      <c r="C45" s="247" t="s">
        <v>2261</v>
      </c>
      <c r="D45" s="252">
        <f>253.8*1.1</f>
        <v>279.18</v>
      </c>
      <c r="E45" s="121" t="s">
        <v>3</v>
      </c>
      <c r="F45" s="152" t="s">
        <v>3</v>
      </c>
      <c r="G45" s="257"/>
      <c r="H45" s="152"/>
      <c r="I45" s="152" t="s">
        <v>3</v>
      </c>
      <c r="J45" s="121" t="s">
        <v>2</v>
      </c>
    </row>
    <row r="46" spans="1:10" x14ac:dyDescent="0.2">
      <c r="A46" s="250" t="s">
        <v>8</v>
      </c>
      <c r="B46" s="251" t="s">
        <v>1645</v>
      </c>
      <c r="C46" s="247" t="s">
        <v>2262</v>
      </c>
      <c r="D46" s="252">
        <f>320.76*1.1</f>
        <v>352.83600000000001</v>
      </c>
      <c r="E46" s="121" t="s">
        <v>3</v>
      </c>
      <c r="F46" s="152" t="s">
        <v>3</v>
      </c>
      <c r="G46" s="257"/>
      <c r="H46" s="152"/>
      <c r="I46" s="152" t="s">
        <v>3</v>
      </c>
      <c r="J46" s="121" t="s">
        <v>2</v>
      </c>
    </row>
    <row r="47" spans="1:10" x14ac:dyDescent="0.2">
      <c r="A47" s="254" t="s">
        <v>8</v>
      </c>
      <c r="B47" s="255" t="s">
        <v>0</v>
      </c>
      <c r="C47" s="253" t="s">
        <v>1654</v>
      </c>
      <c r="D47" s="256">
        <v>0</v>
      </c>
      <c r="E47" s="246" t="s">
        <v>1762</v>
      </c>
      <c r="F47" s="245" t="s">
        <v>1762</v>
      </c>
      <c r="G47" s="257"/>
      <c r="H47" s="152"/>
      <c r="I47" s="245" t="s">
        <v>3</v>
      </c>
      <c r="J47" s="246" t="s">
        <v>1762</v>
      </c>
    </row>
    <row r="48" spans="1:10" x14ac:dyDescent="0.2">
      <c r="A48" s="254" t="s">
        <v>8</v>
      </c>
      <c r="B48" s="255" t="s">
        <v>0</v>
      </c>
      <c r="C48" s="253" t="s">
        <v>1655</v>
      </c>
      <c r="D48" s="256">
        <v>0</v>
      </c>
      <c r="E48" s="246" t="s">
        <v>1762</v>
      </c>
      <c r="F48" s="245" t="s">
        <v>1762</v>
      </c>
      <c r="G48" s="257"/>
      <c r="H48" s="152"/>
      <c r="I48" s="245" t="s">
        <v>3</v>
      </c>
      <c r="J48" s="246" t="s">
        <v>1762</v>
      </c>
    </row>
    <row r="49" spans="1:10" x14ac:dyDescent="0.2">
      <c r="A49" s="254" t="s">
        <v>8</v>
      </c>
      <c r="B49" s="255" t="s">
        <v>0</v>
      </c>
      <c r="C49" s="253" t="s">
        <v>1656</v>
      </c>
      <c r="D49" s="256">
        <v>0</v>
      </c>
      <c r="E49" s="246" t="s">
        <v>1762</v>
      </c>
      <c r="F49" s="245" t="s">
        <v>1762</v>
      </c>
      <c r="G49" s="257"/>
      <c r="H49" s="152"/>
      <c r="I49" s="245" t="s">
        <v>3</v>
      </c>
      <c r="J49" s="246" t="s">
        <v>1762</v>
      </c>
    </row>
  </sheetData>
  <sheetProtection formatCells="0" formatColumns="0" formatRows="0" sort="0" autoFilter="0" pivotTables="0"/>
  <autoFilter ref="A5:J44" xr:uid="{00000000-0009-0000-0000-000008000000}"/>
  <mergeCells count="3">
    <mergeCell ref="A1:J1"/>
    <mergeCell ref="A2:J2"/>
    <mergeCell ref="A3:J3"/>
  </mergeCells>
  <conditionalFormatting sqref="A33:F49">
    <cfRule type="expression" dxfId="78" priority="6">
      <formula>$B33="NEW"</formula>
    </cfRule>
    <cfRule type="expression" dxfId="77" priority="7">
      <formula>$B33="DELETE"</formula>
    </cfRule>
  </conditionalFormatting>
  <conditionalFormatting sqref="E7:J12">
    <cfRule type="expression" dxfId="76" priority="11">
      <formula>E$6="Not Offered"</formula>
    </cfRule>
  </conditionalFormatting>
  <conditionalFormatting sqref="G33:H49">
    <cfRule type="expression" dxfId="75" priority="1">
      <formula>G$32="Not Offered"</formula>
    </cfRule>
  </conditionalFormatting>
  <conditionalFormatting sqref="I33:J49">
    <cfRule type="expression" dxfId="74" priority="2">
      <formula>$B33="NEW"</formula>
    </cfRule>
    <cfRule type="expression" dxfId="73" priority="3">
      <formula>$B33="DELETE"</formula>
    </cfRule>
  </conditionalFormatting>
  <hyperlinks>
    <hyperlink ref="A3:J3" r:id="rId1" display="Please refer to the User Guide for further information here"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d28cfd6-81c7-43f7-acd5-f91561b7a7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6E52E8008D564B8992AB073CF25EF4" ma:contentTypeVersion="16" ma:contentTypeDescription="Create a new document." ma:contentTypeScope="" ma:versionID="f00b1134caaa6fe2fe62d1155178b94d">
  <xsd:schema xmlns:xsd="http://www.w3.org/2001/XMLSchema" xmlns:xs="http://www.w3.org/2001/XMLSchema" xmlns:p="http://schemas.microsoft.com/office/2006/metadata/properties" xmlns:ns3="ed28cfd6-81c7-43f7-acd5-f91561b7a70a" xmlns:ns4="86410f7a-d4d5-413a-8284-33dff0d6ef77" targetNamespace="http://schemas.microsoft.com/office/2006/metadata/properties" ma:root="true" ma:fieldsID="bb5811d9244e0ee0960e3afb10bf64e5" ns3:_="" ns4:_="">
    <xsd:import namespace="ed28cfd6-81c7-43f7-acd5-f91561b7a70a"/>
    <xsd:import namespace="86410f7a-d4d5-413a-8284-33dff0d6ef7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8cfd6-81c7-43f7-acd5-f91561b7a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410f7a-d4d5-413a-8284-33dff0d6ef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55F0EE-3231-4C72-BB86-512005F97A3C}">
  <ds:schemaRefs>
    <ds:schemaRef ds:uri="http://schemas.microsoft.com/sharepoint/v3/contenttype/forms"/>
  </ds:schemaRefs>
</ds:datastoreItem>
</file>

<file path=customXml/itemProps2.xml><?xml version="1.0" encoding="utf-8"?>
<ds:datastoreItem xmlns:ds="http://schemas.openxmlformats.org/officeDocument/2006/customXml" ds:itemID="{2797713D-496D-4635-8CEA-221B91F5F94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86410f7a-d4d5-413a-8284-33dff0d6ef77"/>
    <ds:schemaRef ds:uri="ed28cfd6-81c7-43f7-acd5-f91561b7a70a"/>
    <ds:schemaRef ds:uri="http://www.w3.org/XML/1998/namespace"/>
    <ds:schemaRef ds:uri="http://purl.org/dc/dcmitype/"/>
  </ds:schemaRefs>
</ds:datastoreItem>
</file>

<file path=customXml/itemProps3.xml><?xml version="1.0" encoding="utf-8"?>
<ds:datastoreItem xmlns:ds="http://schemas.openxmlformats.org/officeDocument/2006/customXml" ds:itemID="{CD542016-7174-4964-9BB0-D53997C2D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8cfd6-81c7-43f7-acd5-f91561b7a70a"/>
    <ds:schemaRef ds:uri="86410f7a-d4d5-413a-8284-33dff0d6ef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Summary</vt:lpstr>
      <vt:lpstr>Lowest TCO</vt:lpstr>
      <vt:lpstr>Min_Discounts</vt:lpstr>
      <vt:lpstr>MFD-Colour_List</vt:lpstr>
      <vt:lpstr>MFD-Colour_Upg</vt:lpstr>
      <vt:lpstr>MFD-BW_List</vt:lpstr>
      <vt:lpstr>MFD-BW_Upg</vt:lpstr>
      <vt:lpstr>SFP-Colour_List</vt:lpstr>
      <vt:lpstr>SFP-Colour_Upg</vt:lpstr>
      <vt:lpstr>SFP-BW_List</vt:lpstr>
      <vt:lpstr>SFP-BW_Upg</vt:lpstr>
      <vt:lpstr>Prof_Services</vt:lpstr>
      <vt:lpstr>Software</vt:lpstr>
      <vt:lpstr>Lists</vt:lpstr>
      <vt:lpstr>tco_data</vt:lpstr>
      <vt:lpstr>Data</vt:lpstr>
      <vt:lpstr>Change_Log</vt:lpstr>
      <vt:lpstr>Lists!_FilterDatabase</vt:lpstr>
      <vt:lpstr>DeviceLists</vt:lpstr>
      <vt:lpstr>DeviceTypes</vt:lpstr>
      <vt:lpstr>Locations</vt:lpstr>
      <vt:lpstr>MFDLevels</vt:lpstr>
      <vt:lpstr>MFDSups</vt:lpstr>
      <vt:lpstr>Min_Discounts!Print_Area</vt:lpstr>
      <vt:lpstr>Summary!Print_Area</vt:lpstr>
      <vt:lpstr>SFPLevels</vt:lpstr>
      <vt:lpstr>SFPSups</vt:lpstr>
      <vt:lpstr>TCODevTypes</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Price list</dc:title>
  <dc:subject>Monthly &amp; GST excl Prices</dc:subject>
  <dc:creator>04000152</dc:creator>
  <dc:description>Revised format follow Audit  and feedback from clients</dc:description>
  <cp:lastModifiedBy>Brett, Brendan</cp:lastModifiedBy>
  <cp:lastPrinted>2018-10-30T05:55:43Z</cp:lastPrinted>
  <dcterms:created xsi:type="dcterms:W3CDTF">2004-12-03T06:37:30Z</dcterms:created>
  <dcterms:modified xsi:type="dcterms:W3CDTF">2024-09-18T07:11:16Z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0x0101006A6E52E8008D564B8992AB073CF25EF4</vt:lpwstr>
  </property>
</Properties>
</file>